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1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partans\Desktop\"/>
    </mc:Choice>
  </mc:AlternateContent>
  <xr:revisionPtr revIDLastSave="0" documentId="8_{D8DEED13-76C4-4CD7-8FB3-49B284C0ED65}" xr6:coauthVersionLast="47" xr6:coauthVersionMax="47" xr10:uidLastSave="{00000000-0000-0000-0000-000000000000}"/>
  <bookViews>
    <workbookView xWindow="-120" yWindow="-120" windowWidth="20730" windowHeight="11160" firstSheet="18" activeTab="18" xr2:uid="{00000000-000D-0000-FFFF-FFFF00000000}"/>
  </bookViews>
  <sheets>
    <sheet name="TROTAMUNDOS" sheetId="22" r:id="rId1"/>
    <sheet name="COCODRILOS" sheetId="16" r:id="rId2"/>
    <sheet name="CENTAUROS" sheetId="7" r:id="rId3"/>
    <sheet name="GUAIQUERÍES" sheetId="23" r:id="rId4"/>
    <sheet name="GLADIADORES" sheetId="13" r:id="rId5"/>
    <sheet name="BRONCOS" sheetId="32" r:id="rId6"/>
    <sheet name="BRILLANTES" sheetId="27" r:id="rId7"/>
    <sheet name="SUPERSÓNICOS" sheetId="12" r:id="rId8"/>
    <sheet name="GIGANTES" sheetId="3" r:id="rId9"/>
    <sheet name="PIRATAS" sheetId="20" r:id="rId10"/>
    <sheet name="SPARTANS" sheetId="14" r:id="rId11"/>
    <sheet name="HÉROES" sheetId="26" r:id="rId12"/>
    <sheet name="TOROS" sheetId="11" r:id="rId13"/>
    <sheet name="GUAROS" sheetId="35" r:id="rId14"/>
    <sheet name="LLANEROS" sheetId="25" r:id="rId15"/>
    <sheet name="MARINOS" sheetId="8" r:id="rId16"/>
    <sheet name="GAITEROS" sheetId="17" r:id="rId17"/>
    <sheet name="CANGREJEROS" sheetId="31" r:id="rId18"/>
    <sheet name="TAURINOS" sheetId="28" r:id="rId19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17" l="1"/>
  <c r="F24" i="17"/>
  <c r="K24" i="17"/>
  <c r="L24" i="17"/>
  <c r="E10" i="27"/>
  <c r="F10" i="27"/>
  <c r="H10" i="27"/>
  <c r="I10" i="27"/>
  <c r="K10" i="27"/>
  <c r="L10" i="27"/>
  <c r="E15" i="27"/>
  <c r="F15" i="27"/>
  <c r="H15" i="27"/>
  <c r="I15" i="27"/>
  <c r="K15" i="27"/>
  <c r="L15" i="27"/>
  <c r="E22" i="27"/>
  <c r="F22" i="27"/>
  <c r="H22" i="27"/>
  <c r="I22" i="27"/>
  <c r="K22" i="27"/>
  <c r="L22" i="27"/>
  <c r="E17" i="22"/>
  <c r="F17" i="22"/>
  <c r="H17" i="22"/>
  <c r="I17" i="22"/>
  <c r="K17" i="22"/>
  <c r="L17" i="22"/>
  <c r="E15" i="22"/>
  <c r="F15" i="22"/>
  <c r="I15" i="22"/>
  <c r="K15" i="22"/>
  <c r="L15" i="22"/>
  <c r="L19" i="28"/>
  <c r="K19" i="28"/>
  <c r="I19" i="28"/>
  <c r="H19" i="28"/>
  <c r="F19" i="28"/>
  <c r="E19" i="28"/>
  <c r="L18" i="28"/>
  <c r="K18" i="28"/>
  <c r="F18" i="28"/>
  <c r="E18" i="28"/>
  <c r="L8" i="28"/>
  <c r="K8" i="28"/>
  <c r="I8" i="28"/>
  <c r="H8" i="28"/>
  <c r="F8" i="28"/>
  <c r="E8" i="28"/>
  <c r="K16" i="28"/>
  <c r="I16" i="28"/>
  <c r="F16" i="28"/>
  <c r="E16" i="28"/>
  <c r="L15" i="28"/>
  <c r="K15" i="28"/>
  <c r="I15" i="28"/>
  <c r="H15" i="28"/>
  <c r="F15" i="28"/>
  <c r="E15" i="28"/>
  <c r="L14" i="28"/>
  <c r="K14" i="28"/>
  <c r="I14" i="28"/>
  <c r="H14" i="28"/>
  <c r="F14" i="28"/>
  <c r="E14" i="28"/>
  <c r="L13" i="28"/>
  <c r="K13" i="28"/>
  <c r="I13" i="28"/>
  <c r="H13" i="28"/>
  <c r="F13" i="28"/>
  <c r="E13" i="28"/>
  <c r="L12" i="28"/>
  <c r="K12" i="28"/>
  <c r="I12" i="28"/>
  <c r="H12" i="28"/>
  <c r="F12" i="28"/>
  <c r="E12" i="28"/>
  <c r="L10" i="28"/>
  <c r="K10" i="28"/>
  <c r="F10" i="28"/>
  <c r="E10" i="28"/>
  <c r="L7" i="28"/>
  <c r="K7" i="28"/>
  <c r="I7" i="28"/>
  <c r="H7" i="28"/>
  <c r="F7" i="28"/>
  <c r="E7" i="28"/>
  <c r="L9" i="28"/>
  <c r="K9" i="28"/>
  <c r="I9" i="28"/>
  <c r="H9" i="28"/>
  <c r="F9" i="28"/>
  <c r="E9" i="28"/>
  <c r="I17" i="28"/>
  <c r="L11" i="28"/>
  <c r="K11" i="28"/>
  <c r="I11" i="28"/>
  <c r="H11" i="28"/>
  <c r="F11" i="28"/>
  <c r="E11" i="28"/>
  <c r="L21" i="11"/>
  <c r="K21" i="11"/>
  <c r="I21" i="11"/>
  <c r="H21" i="11"/>
  <c r="F21" i="11"/>
  <c r="E21" i="11"/>
  <c r="L15" i="11"/>
  <c r="K15" i="11"/>
  <c r="I15" i="11"/>
  <c r="H15" i="11"/>
  <c r="F15" i="11"/>
  <c r="E15" i="11"/>
  <c r="F20" i="11"/>
  <c r="E20" i="11"/>
  <c r="L11" i="11"/>
  <c r="K11" i="11"/>
  <c r="I11" i="11"/>
  <c r="H11" i="11"/>
  <c r="F11" i="11"/>
  <c r="E11" i="11"/>
  <c r="H17" i="11"/>
  <c r="F17" i="11"/>
  <c r="E17" i="11"/>
  <c r="L19" i="11"/>
  <c r="K19" i="11"/>
  <c r="I19" i="11"/>
  <c r="H19" i="11"/>
  <c r="F19" i="11"/>
  <c r="L7" i="11"/>
  <c r="K7" i="11"/>
  <c r="I7" i="11"/>
  <c r="H7" i="11"/>
  <c r="F7" i="11"/>
  <c r="E7" i="11"/>
  <c r="L10" i="11"/>
  <c r="K10" i="11"/>
  <c r="I10" i="11"/>
  <c r="H10" i="11"/>
  <c r="F10" i="11"/>
  <c r="E10" i="11"/>
  <c r="L16" i="11"/>
  <c r="K16" i="11"/>
  <c r="I16" i="11"/>
  <c r="H16" i="11"/>
  <c r="F16" i="11"/>
  <c r="E16" i="11"/>
  <c r="L18" i="11"/>
  <c r="I18" i="11"/>
  <c r="H18" i="11"/>
  <c r="F18" i="11"/>
  <c r="E18" i="11"/>
  <c r="L12" i="11"/>
  <c r="K12" i="11"/>
  <c r="I12" i="11"/>
  <c r="H12" i="11"/>
  <c r="L13" i="11"/>
  <c r="K13" i="11"/>
  <c r="I13" i="11"/>
  <c r="F13" i="11"/>
  <c r="E13" i="11"/>
  <c r="L8" i="11"/>
  <c r="K8" i="11"/>
  <c r="I8" i="11"/>
  <c r="H8" i="11"/>
  <c r="F8" i="11"/>
  <c r="E8" i="11"/>
  <c r="L14" i="11"/>
  <c r="K14" i="11"/>
  <c r="H14" i="11"/>
  <c r="I14" i="11"/>
  <c r="F14" i="11"/>
  <c r="E14" i="11"/>
  <c r="L9" i="11"/>
  <c r="K9" i="11"/>
  <c r="I9" i="11"/>
  <c r="H9" i="11"/>
  <c r="F9" i="11"/>
  <c r="E9" i="11"/>
  <c r="L22" i="31"/>
  <c r="K22" i="31"/>
  <c r="I22" i="31"/>
  <c r="H22" i="31"/>
  <c r="F22" i="31"/>
  <c r="E22" i="31"/>
  <c r="L16" i="31"/>
  <c r="K16" i="31"/>
  <c r="I16" i="31"/>
  <c r="H16" i="31"/>
  <c r="F16" i="31"/>
  <c r="L17" i="31"/>
  <c r="K17" i="31"/>
  <c r="H17" i="31"/>
  <c r="F17" i="31"/>
  <c r="E17" i="31"/>
  <c r="L15" i="31"/>
  <c r="K15" i="31"/>
  <c r="I15" i="31"/>
  <c r="F15" i="31"/>
  <c r="E15" i="31"/>
  <c r="L20" i="31"/>
  <c r="K20" i="31"/>
  <c r="I20" i="31"/>
  <c r="H20" i="31"/>
  <c r="F20" i="31"/>
  <c r="E20" i="31"/>
  <c r="K18" i="31"/>
  <c r="I18" i="31"/>
  <c r="H18" i="31"/>
  <c r="F18" i="31"/>
  <c r="E18" i="31"/>
  <c r="L21" i="31"/>
  <c r="K21" i="31"/>
  <c r="I21" i="31"/>
  <c r="F21" i="31"/>
  <c r="E21" i="31"/>
  <c r="L11" i="31"/>
  <c r="K11" i="31"/>
  <c r="I11" i="31"/>
  <c r="H11" i="31"/>
  <c r="F11" i="31"/>
  <c r="E11" i="31"/>
  <c r="L19" i="31"/>
  <c r="K19" i="31"/>
  <c r="F19" i="31"/>
  <c r="E19" i="31"/>
  <c r="L9" i="31"/>
  <c r="K9" i="31"/>
  <c r="I9" i="31"/>
  <c r="H9" i="31"/>
  <c r="F9" i="31"/>
  <c r="E9" i="31"/>
  <c r="L10" i="31"/>
  <c r="K10" i="31"/>
  <c r="I10" i="31"/>
  <c r="H10" i="31"/>
  <c r="F10" i="31"/>
  <c r="E10" i="31"/>
  <c r="L13" i="31"/>
  <c r="K13" i="31"/>
  <c r="I13" i="31"/>
  <c r="H13" i="31"/>
  <c r="F13" i="31"/>
  <c r="E13" i="31"/>
  <c r="L8" i="31"/>
  <c r="K8" i="31"/>
  <c r="I8" i="31"/>
  <c r="H8" i="31"/>
  <c r="E8" i="31"/>
  <c r="F8" i="31"/>
  <c r="L12" i="31"/>
  <c r="K12" i="31"/>
  <c r="L7" i="31"/>
  <c r="K7" i="31"/>
  <c r="I7" i="31"/>
  <c r="H7" i="31"/>
  <c r="L14" i="31"/>
  <c r="K14" i="31"/>
  <c r="I14" i="31"/>
  <c r="H14" i="31"/>
  <c r="F12" i="31"/>
  <c r="F7" i="31"/>
  <c r="E7" i="31"/>
  <c r="F14" i="31"/>
  <c r="E14" i="31"/>
  <c r="L27" i="17"/>
  <c r="K27" i="17"/>
  <c r="I27" i="17"/>
  <c r="H27" i="17"/>
  <c r="F27" i="17"/>
  <c r="E27" i="17"/>
  <c r="L9" i="17"/>
  <c r="I9" i="17"/>
  <c r="K9" i="17"/>
  <c r="F9" i="17"/>
  <c r="E9" i="17"/>
  <c r="L10" i="17"/>
  <c r="K10" i="17"/>
  <c r="I10" i="17"/>
  <c r="H10" i="17"/>
  <c r="F10" i="17"/>
  <c r="E10" i="17"/>
  <c r="L20" i="17"/>
  <c r="K20" i="17"/>
  <c r="I20" i="17"/>
  <c r="H20" i="17"/>
  <c r="F20" i="17"/>
  <c r="E20" i="17"/>
  <c r="K25" i="17"/>
  <c r="I25" i="17"/>
  <c r="H25" i="17"/>
  <c r="F25" i="17"/>
  <c r="K14" i="17"/>
  <c r="L8" i="17"/>
  <c r="K8" i="17"/>
  <c r="H8" i="17"/>
  <c r="I14" i="17"/>
  <c r="H14" i="17"/>
  <c r="F8" i="17"/>
  <c r="E8" i="17"/>
  <c r="F14" i="17"/>
  <c r="L11" i="17"/>
  <c r="I11" i="17"/>
  <c r="H11" i="17"/>
  <c r="F11" i="17"/>
  <c r="E11" i="17"/>
  <c r="L15" i="17"/>
  <c r="K15" i="17"/>
  <c r="I15" i="17"/>
  <c r="H15" i="17"/>
  <c r="F15" i="17"/>
  <c r="E15" i="17"/>
  <c r="L12" i="17"/>
  <c r="K12" i="17"/>
  <c r="I12" i="17"/>
  <c r="H12" i="17"/>
  <c r="F12" i="17"/>
  <c r="E12" i="17"/>
  <c r="L21" i="17"/>
  <c r="K21" i="17"/>
  <c r="F21" i="17"/>
  <c r="E21" i="17"/>
  <c r="I21" i="17"/>
  <c r="H21" i="17"/>
  <c r="I17" i="17"/>
  <c r="L17" i="17"/>
  <c r="K17" i="17"/>
  <c r="F17" i="17"/>
  <c r="E17" i="17"/>
  <c r="L7" i="17"/>
  <c r="K7" i="17"/>
  <c r="I7" i="17"/>
  <c r="H7" i="17"/>
  <c r="F7" i="17"/>
  <c r="E7" i="17"/>
  <c r="L23" i="17"/>
  <c r="K23" i="17"/>
  <c r="I23" i="17"/>
  <c r="H23" i="17"/>
  <c r="F23" i="17"/>
  <c r="E23" i="17"/>
  <c r="L18" i="17"/>
  <c r="K18" i="17"/>
  <c r="I18" i="17"/>
  <c r="H18" i="17"/>
  <c r="F18" i="17"/>
  <c r="E18" i="17"/>
  <c r="L19" i="17"/>
  <c r="K19" i="17"/>
  <c r="I19" i="17"/>
  <c r="H19" i="17"/>
  <c r="F19" i="17"/>
  <c r="E19" i="17"/>
  <c r="L22" i="17"/>
  <c r="K22" i="17"/>
  <c r="I22" i="17"/>
  <c r="H22" i="17"/>
  <c r="F22" i="17"/>
  <c r="E22" i="17"/>
  <c r="L26" i="8"/>
  <c r="K26" i="8"/>
  <c r="I26" i="8"/>
  <c r="H26" i="8"/>
  <c r="F26" i="8"/>
  <c r="E26" i="8"/>
  <c r="L16" i="8"/>
  <c r="K16" i="8"/>
  <c r="I16" i="8"/>
  <c r="H16" i="8"/>
  <c r="L17" i="8"/>
  <c r="K17" i="8"/>
  <c r="I17" i="8"/>
  <c r="H17" i="8"/>
  <c r="F17" i="8"/>
  <c r="E17" i="8"/>
  <c r="L13" i="8"/>
  <c r="K13" i="8"/>
  <c r="I13" i="8"/>
  <c r="H13" i="8"/>
  <c r="F13" i="8"/>
  <c r="E13" i="8"/>
  <c r="E7" i="8"/>
  <c r="F12" i="8"/>
  <c r="E12" i="8"/>
  <c r="L14" i="8"/>
  <c r="K14" i="8"/>
  <c r="I14" i="8"/>
  <c r="H14" i="8"/>
  <c r="F14" i="8"/>
  <c r="E14" i="8"/>
  <c r="L22" i="8"/>
  <c r="I22" i="8"/>
  <c r="H22" i="8"/>
  <c r="F22" i="8"/>
  <c r="E22" i="8"/>
  <c r="L8" i="8"/>
  <c r="K8" i="8"/>
  <c r="H8" i="8"/>
  <c r="F8" i="8"/>
  <c r="E8" i="8"/>
  <c r="L9" i="8"/>
  <c r="K9" i="8"/>
  <c r="I9" i="8"/>
  <c r="H9" i="8"/>
  <c r="F9" i="8"/>
  <c r="E9" i="8"/>
  <c r="L25" i="8"/>
  <c r="K25" i="8"/>
  <c r="F25" i="8"/>
  <c r="E25" i="8"/>
  <c r="L11" i="8"/>
  <c r="K11" i="8"/>
  <c r="I11" i="8"/>
  <c r="H11" i="8"/>
  <c r="F11" i="8"/>
  <c r="E11" i="8"/>
  <c r="L20" i="8"/>
  <c r="K20" i="8"/>
  <c r="I20" i="8"/>
  <c r="H20" i="8"/>
  <c r="F20" i="8"/>
  <c r="I19" i="8"/>
  <c r="L19" i="8"/>
  <c r="K19" i="8"/>
  <c r="F19" i="8"/>
  <c r="E19" i="8"/>
  <c r="L10" i="8"/>
  <c r="K10" i="8"/>
  <c r="I10" i="8"/>
  <c r="H10" i="8"/>
  <c r="F10" i="8"/>
  <c r="E10" i="8"/>
  <c r="L18" i="8"/>
  <c r="K18" i="8"/>
  <c r="I18" i="8"/>
  <c r="H18" i="8"/>
  <c r="F18" i="8"/>
  <c r="L21" i="8"/>
  <c r="K21" i="8"/>
  <c r="F21" i="8"/>
  <c r="E21" i="8"/>
  <c r="L15" i="8"/>
  <c r="K15" i="8"/>
  <c r="I15" i="8"/>
  <c r="H15" i="8"/>
  <c r="F15" i="8"/>
  <c r="E15" i="8"/>
  <c r="K20" i="35"/>
  <c r="L20" i="35"/>
  <c r="I20" i="35"/>
  <c r="H20" i="35"/>
  <c r="F20" i="35"/>
  <c r="E20" i="35"/>
  <c r="L15" i="35"/>
  <c r="K15" i="35"/>
  <c r="I15" i="35"/>
  <c r="H15" i="35"/>
  <c r="F15" i="35"/>
  <c r="E15" i="35"/>
  <c r="I19" i="35"/>
  <c r="F19" i="35"/>
  <c r="E19" i="35"/>
  <c r="L7" i="35"/>
  <c r="K7" i="35"/>
  <c r="I7" i="35"/>
  <c r="H7" i="35"/>
  <c r="F7" i="35"/>
  <c r="E7" i="35"/>
  <c r="K18" i="35"/>
  <c r="I18" i="35"/>
  <c r="F18" i="35"/>
  <c r="E18" i="35"/>
  <c r="K11" i="35"/>
  <c r="I11" i="35"/>
  <c r="H11" i="35"/>
  <c r="F11" i="35"/>
  <c r="E11" i="35"/>
  <c r="L9" i="35"/>
  <c r="K9" i="35"/>
  <c r="I9" i="35"/>
  <c r="H9" i="35"/>
  <c r="F9" i="35"/>
  <c r="E9" i="35"/>
  <c r="L10" i="35"/>
  <c r="K10" i="35"/>
  <c r="I10" i="35"/>
  <c r="H10" i="35"/>
  <c r="F10" i="35"/>
  <c r="E10" i="35"/>
  <c r="L14" i="35"/>
  <c r="K14" i="35"/>
  <c r="I14" i="35"/>
  <c r="H14" i="35"/>
  <c r="F14" i="35"/>
  <c r="E14" i="35"/>
  <c r="L8" i="35"/>
  <c r="K8" i="35"/>
  <c r="I8" i="35"/>
  <c r="H8" i="35"/>
  <c r="F8" i="35"/>
  <c r="E8" i="35"/>
  <c r="L16" i="35"/>
  <c r="K16" i="35"/>
  <c r="I16" i="35"/>
  <c r="H16" i="35"/>
  <c r="F16" i="35"/>
  <c r="E16" i="35"/>
  <c r="L13" i="35"/>
  <c r="K13" i="35"/>
  <c r="I13" i="35"/>
  <c r="H13" i="35"/>
  <c r="F13" i="35"/>
  <c r="E13" i="35"/>
  <c r="L12" i="35"/>
  <c r="K12" i="35"/>
  <c r="I12" i="35"/>
  <c r="F12" i="35"/>
  <c r="E12" i="35"/>
  <c r="L17" i="35"/>
  <c r="K17" i="35"/>
  <c r="I17" i="35"/>
  <c r="H17" i="35"/>
  <c r="F17" i="35"/>
  <c r="E17" i="35"/>
  <c r="L21" i="25"/>
  <c r="K21" i="25"/>
  <c r="I21" i="25"/>
  <c r="H21" i="25"/>
  <c r="F21" i="25"/>
  <c r="E21" i="25"/>
  <c r="L8" i="25"/>
  <c r="K8" i="25"/>
  <c r="I8" i="25"/>
  <c r="H8" i="25"/>
  <c r="F8" i="25"/>
  <c r="E8" i="25"/>
  <c r="K15" i="25"/>
  <c r="I15" i="25"/>
  <c r="H15" i="25"/>
  <c r="F15" i="25"/>
  <c r="E15" i="25"/>
  <c r="L10" i="25"/>
  <c r="K10" i="25"/>
  <c r="I10" i="25"/>
  <c r="H10" i="25"/>
  <c r="F10" i="25"/>
  <c r="E10" i="25"/>
  <c r="L16" i="25"/>
  <c r="K16" i="25"/>
  <c r="I16" i="25"/>
  <c r="H16" i="25"/>
  <c r="F16" i="25"/>
  <c r="E16" i="25"/>
  <c r="L11" i="25"/>
  <c r="K11" i="25"/>
  <c r="I11" i="25"/>
  <c r="F11" i="25"/>
  <c r="E11" i="25"/>
  <c r="L17" i="25"/>
  <c r="K17" i="25"/>
  <c r="I17" i="25"/>
  <c r="H17" i="25"/>
  <c r="F17" i="25"/>
  <c r="E17" i="25"/>
  <c r="L7" i="25"/>
  <c r="K7" i="25"/>
  <c r="I7" i="25"/>
  <c r="H7" i="25"/>
  <c r="F7" i="25"/>
  <c r="E7" i="25"/>
  <c r="L19" i="25"/>
  <c r="K19" i="25"/>
  <c r="I19" i="25"/>
  <c r="H19" i="25"/>
  <c r="F19" i="25"/>
  <c r="E19" i="25"/>
  <c r="L12" i="25"/>
  <c r="K12" i="25"/>
  <c r="I12" i="25"/>
  <c r="H12" i="25"/>
  <c r="F12" i="25"/>
  <c r="E12" i="25"/>
  <c r="L18" i="25"/>
  <c r="K18" i="25"/>
  <c r="I18" i="25"/>
  <c r="H18" i="25"/>
  <c r="F18" i="25"/>
  <c r="L13" i="25"/>
  <c r="K13" i="25"/>
  <c r="I13" i="25"/>
  <c r="H13" i="25"/>
  <c r="F13" i="25"/>
  <c r="E13" i="25"/>
  <c r="L14" i="25"/>
  <c r="K14" i="25"/>
  <c r="I14" i="25"/>
  <c r="H14" i="25"/>
  <c r="F14" i="25"/>
  <c r="E14" i="25"/>
  <c r="L9" i="25"/>
  <c r="F9" i="25"/>
  <c r="E9" i="25"/>
  <c r="L21" i="26"/>
  <c r="K21" i="26"/>
  <c r="I21" i="26"/>
  <c r="H21" i="26"/>
  <c r="F21" i="26"/>
  <c r="L19" i="26"/>
  <c r="K19" i="26"/>
  <c r="I19" i="26"/>
  <c r="F19" i="26"/>
  <c r="E19" i="26"/>
  <c r="L8" i="26"/>
  <c r="K8" i="26"/>
  <c r="I8" i="26"/>
  <c r="H8" i="26"/>
  <c r="F8" i="26"/>
  <c r="E8" i="26"/>
  <c r="L9" i="26"/>
  <c r="K9" i="26"/>
  <c r="I9" i="26"/>
  <c r="H9" i="26"/>
  <c r="F9" i="26"/>
  <c r="E9" i="26"/>
  <c r="L11" i="26"/>
  <c r="K11" i="26"/>
  <c r="I11" i="26"/>
  <c r="H11" i="26"/>
  <c r="F11" i="26"/>
  <c r="E11" i="26"/>
  <c r="L10" i="26"/>
  <c r="K10" i="26"/>
  <c r="I10" i="26"/>
  <c r="H10" i="26"/>
  <c r="F10" i="26"/>
  <c r="E10" i="26"/>
  <c r="L14" i="26"/>
  <c r="K14" i="26"/>
  <c r="I14" i="26"/>
  <c r="H14" i="26"/>
  <c r="F14" i="26"/>
  <c r="E14" i="26"/>
  <c r="L12" i="26"/>
  <c r="K12" i="26"/>
  <c r="I12" i="26"/>
  <c r="H12" i="26"/>
  <c r="F12" i="26"/>
  <c r="E12" i="26"/>
  <c r="I13" i="26"/>
  <c r="L13" i="26"/>
  <c r="K13" i="26"/>
  <c r="F13" i="26"/>
  <c r="E13" i="26"/>
  <c r="L17" i="26"/>
  <c r="K17" i="26"/>
  <c r="I17" i="26"/>
  <c r="H17" i="26"/>
  <c r="F17" i="26"/>
  <c r="E17" i="26"/>
  <c r="L15" i="26"/>
  <c r="K15" i="26"/>
  <c r="E15" i="26"/>
  <c r="L18" i="26"/>
  <c r="K18" i="26"/>
  <c r="I18" i="26"/>
  <c r="H18" i="26"/>
  <c r="F18" i="26"/>
  <c r="E18" i="26"/>
  <c r="L16" i="26"/>
  <c r="K16" i="26"/>
  <c r="I16" i="26"/>
  <c r="H16" i="26"/>
  <c r="F16" i="26"/>
  <c r="E16" i="26"/>
  <c r="L7" i="26"/>
  <c r="K7" i="26"/>
  <c r="I7" i="26"/>
  <c r="H7" i="26"/>
  <c r="F7" i="26"/>
  <c r="E7" i="26"/>
  <c r="L15" i="20"/>
  <c r="K15" i="20"/>
  <c r="I15" i="20"/>
  <c r="H15" i="20"/>
  <c r="F15" i="20"/>
  <c r="E15" i="20"/>
  <c r="L7" i="20"/>
  <c r="K7" i="20"/>
  <c r="I7" i="20"/>
  <c r="H7" i="20"/>
  <c r="F7" i="20"/>
  <c r="E7" i="20"/>
  <c r="L17" i="20"/>
  <c r="K17" i="20"/>
  <c r="I17" i="20"/>
  <c r="H17" i="20"/>
  <c r="F17" i="20"/>
  <c r="E17" i="20"/>
  <c r="L8" i="20"/>
  <c r="K8" i="20"/>
  <c r="I8" i="20"/>
  <c r="H8" i="20"/>
  <c r="F8" i="20"/>
  <c r="E8" i="20"/>
  <c r="L18" i="20"/>
  <c r="K18" i="20"/>
  <c r="F18" i="20"/>
  <c r="E18" i="20"/>
  <c r="L21" i="20"/>
  <c r="K21" i="20"/>
  <c r="F21" i="20"/>
  <c r="E21" i="20"/>
  <c r="L16" i="20"/>
  <c r="K16" i="20"/>
  <c r="I16" i="20"/>
  <c r="H16" i="20"/>
  <c r="F16" i="20"/>
  <c r="E16" i="20"/>
  <c r="L12" i="20"/>
  <c r="K12" i="20"/>
  <c r="I12" i="20"/>
  <c r="H12" i="20"/>
  <c r="F12" i="20"/>
  <c r="E12" i="20"/>
  <c r="L14" i="20"/>
  <c r="K14" i="20"/>
  <c r="I14" i="20"/>
  <c r="H14" i="20"/>
  <c r="F14" i="20"/>
  <c r="E14" i="20"/>
  <c r="L10" i="20"/>
  <c r="K10" i="20"/>
  <c r="I10" i="20"/>
  <c r="H10" i="20"/>
  <c r="F10" i="20"/>
  <c r="E10" i="20"/>
  <c r="L13" i="20"/>
  <c r="K13" i="20"/>
  <c r="I13" i="20"/>
  <c r="H13" i="20"/>
  <c r="F13" i="20"/>
  <c r="E13" i="20"/>
  <c r="L22" i="20"/>
  <c r="K22" i="20"/>
  <c r="I22" i="20"/>
  <c r="H22" i="20"/>
  <c r="F22" i="20"/>
  <c r="E22" i="20"/>
  <c r="L19" i="20"/>
  <c r="K19" i="20"/>
  <c r="I19" i="20"/>
  <c r="H19" i="20"/>
  <c r="E19" i="20"/>
  <c r="L11" i="20"/>
  <c r="K11" i="20"/>
  <c r="I11" i="20"/>
  <c r="H11" i="20"/>
  <c r="F11" i="20"/>
  <c r="E11" i="20"/>
  <c r="L9" i="20"/>
  <c r="K9" i="20"/>
  <c r="I9" i="20"/>
  <c r="H9" i="20"/>
  <c r="F9" i="20"/>
  <c r="E9" i="20"/>
  <c r="E14" i="14"/>
  <c r="F14" i="14"/>
  <c r="K14" i="14"/>
  <c r="L14" i="14"/>
  <c r="E13" i="14"/>
  <c r="F13" i="14"/>
  <c r="H13" i="14"/>
  <c r="I13" i="14"/>
  <c r="K13" i="14"/>
  <c r="L13" i="14"/>
  <c r="E10" i="14"/>
  <c r="F10" i="14"/>
  <c r="H10" i="14"/>
  <c r="I10" i="14"/>
  <c r="K10" i="14"/>
  <c r="L10" i="14"/>
  <c r="E17" i="14"/>
  <c r="F17" i="14"/>
  <c r="H17" i="14"/>
  <c r="I17" i="14"/>
  <c r="K17" i="14"/>
  <c r="L17" i="14"/>
  <c r="E18" i="14"/>
  <c r="F18" i="14"/>
  <c r="H18" i="14"/>
  <c r="I18" i="14"/>
  <c r="K18" i="14"/>
  <c r="L18" i="14"/>
  <c r="E7" i="14"/>
  <c r="F7" i="14"/>
  <c r="H7" i="14"/>
  <c r="I7" i="14"/>
  <c r="K7" i="14"/>
  <c r="L7" i="14"/>
  <c r="E19" i="14"/>
  <c r="F19" i="14"/>
  <c r="H19" i="14"/>
  <c r="I19" i="14"/>
  <c r="K19" i="14"/>
  <c r="L19" i="14"/>
  <c r="E12" i="14"/>
  <c r="F12" i="14"/>
  <c r="H12" i="14"/>
  <c r="I12" i="14"/>
  <c r="K12" i="14"/>
  <c r="L12" i="14"/>
  <c r="E9" i="14"/>
  <c r="F9" i="14"/>
  <c r="H9" i="14"/>
  <c r="I9" i="14"/>
  <c r="K9" i="14"/>
  <c r="L9" i="14"/>
  <c r="H15" i="14"/>
  <c r="E20" i="14"/>
  <c r="F20" i="14"/>
  <c r="H20" i="14"/>
  <c r="I20" i="14"/>
  <c r="K20" i="14"/>
  <c r="E21" i="14"/>
  <c r="H21" i="14"/>
  <c r="I21" i="14"/>
  <c r="K21" i="14"/>
  <c r="L21" i="14"/>
  <c r="E8" i="14"/>
  <c r="F8" i="14"/>
  <c r="H8" i="14"/>
  <c r="I8" i="14"/>
  <c r="K8" i="14"/>
  <c r="L8" i="14"/>
  <c r="H22" i="14"/>
  <c r="L22" i="14"/>
  <c r="E16" i="14"/>
  <c r="K16" i="14"/>
  <c r="I11" i="14"/>
  <c r="E7" i="3"/>
  <c r="F7" i="3"/>
  <c r="H7" i="3"/>
  <c r="I7" i="3"/>
  <c r="K7" i="3"/>
  <c r="L7" i="3"/>
  <c r="E8" i="3"/>
  <c r="F8" i="3"/>
  <c r="H8" i="3"/>
  <c r="I8" i="3"/>
  <c r="K8" i="3"/>
  <c r="L8" i="3"/>
  <c r="E9" i="3"/>
  <c r="F9" i="3"/>
  <c r="H9" i="3"/>
  <c r="I9" i="3"/>
  <c r="K9" i="3"/>
  <c r="L9" i="3"/>
  <c r="E10" i="3"/>
  <c r="F10" i="3"/>
  <c r="I10" i="3"/>
  <c r="K10" i="3"/>
  <c r="L10" i="3"/>
  <c r="E11" i="3"/>
  <c r="F11" i="3"/>
  <c r="H11" i="3"/>
  <c r="I11" i="3"/>
  <c r="K11" i="3"/>
  <c r="L11" i="3"/>
  <c r="E12" i="3"/>
  <c r="F12" i="3"/>
  <c r="H12" i="3"/>
  <c r="I12" i="3"/>
  <c r="K12" i="3"/>
  <c r="L12" i="3"/>
  <c r="E13" i="3"/>
  <c r="F13" i="3"/>
  <c r="H13" i="3"/>
  <c r="I13" i="3"/>
  <c r="K13" i="3"/>
  <c r="L13" i="3"/>
  <c r="F15" i="3"/>
  <c r="H15" i="3"/>
  <c r="I15" i="3"/>
  <c r="K15" i="3"/>
  <c r="L15" i="3"/>
  <c r="E16" i="3"/>
  <c r="F16" i="3"/>
  <c r="K16" i="3"/>
  <c r="L16" i="3"/>
  <c r="E17" i="3"/>
  <c r="F17" i="3"/>
  <c r="H17" i="3"/>
  <c r="I17" i="3"/>
  <c r="K17" i="3"/>
  <c r="L17" i="3"/>
  <c r="E18" i="3"/>
  <c r="F18" i="3"/>
  <c r="H18" i="3"/>
  <c r="I18" i="3"/>
  <c r="K18" i="3"/>
  <c r="L18" i="3"/>
  <c r="E19" i="3"/>
  <c r="F19" i="3"/>
  <c r="H19" i="3"/>
  <c r="I19" i="3"/>
  <c r="K19" i="3"/>
  <c r="L19" i="3"/>
  <c r="E20" i="3"/>
  <c r="F20" i="3"/>
  <c r="H20" i="3"/>
  <c r="I20" i="3"/>
  <c r="K20" i="3"/>
  <c r="L20" i="3"/>
  <c r="F21" i="3"/>
  <c r="K21" i="3"/>
  <c r="L21" i="3"/>
  <c r="E7" i="12"/>
  <c r="F7" i="12"/>
  <c r="H7" i="12"/>
  <c r="I7" i="12"/>
  <c r="K7" i="12"/>
  <c r="L7" i="12"/>
  <c r="E8" i="12"/>
  <c r="F8" i="12"/>
  <c r="H8" i="12"/>
  <c r="I8" i="12"/>
  <c r="K8" i="12"/>
  <c r="L8" i="12"/>
  <c r="E9" i="12"/>
  <c r="F9" i="12"/>
  <c r="H9" i="12"/>
  <c r="I9" i="12"/>
  <c r="K9" i="12"/>
  <c r="L9" i="12"/>
  <c r="E10" i="12"/>
  <c r="F10" i="12"/>
  <c r="H10" i="12"/>
  <c r="I10" i="12"/>
  <c r="K10" i="12"/>
  <c r="L10" i="12"/>
  <c r="E11" i="12"/>
  <c r="F11" i="12"/>
  <c r="H11" i="12"/>
  <c r="I11" i="12"/>
  <c r="K11" i="12"/>
  <c r="L11" i="12"/>
  <c r="E12" i="12"/>
  <c r="F12" i="12"/>
  <c r="H12" i="12"/>
  <c r="I12" i="12"/>
  <c r="K12" i="12"/>
  <c r="L12" i="12"/>
  <c r="E13" i="12"/>
  <c r="F13" i="12"/>
  <c r="H13" i="12"/>
  <c r="I13" i="12"/>
  <c r="K13" i="12"/>
  <c r="L13" i="12"/>
  <c r="E14" i="12"/>
  <c r="F14" i="12"/>
  <c r="H14" i="12"/>
  <c r="I14" i="12"/>
  <c r="L14" i="12"/>
  <c r="E15" i="12"/>
  <c r="H15" i="12"/>
  <c r="I15" i="12"/>
  <c r="K15" i="12"/>
  <c r="L15" i="12"/>
  <c r="E16" i="12"/>
  <c r="F16" i="12"/>
  <c r="I16" i="12"/>
  <c r="K16" i="12"/>
  <c r="L16" i="12"/>
  <c r="E17" i="12"/>
  <c r="F17" i="12"/>
  <c r="H17" i="12"/>
  <c r="I17" i="12"/>
  <c r="K17" i="12"/>
  <c r="L17" i="12"/>
  <c r="E18" i="12"/>
  <c r="F18" i="12"/>
  <c r="K18" i="12"/>
  <c r="L18" i="12"/>
  <c r="F19" i="12"/>
  <c r="H19" i="12"/>
  <c r="I19" i="12"/>
  <c r="E7" i="27"/>
  <c r="F7" i="27"/>
  <c r="H7" i="27"/>
  <c r="K7" i="27"/>
  <c r="L7" i="27"/>
  <c r="E8" i="27"/>
  <c r="F8" i="27"/>
  <c r="H8" i="27"/>
  <c r="I8" i="27"/>
  <c r="K8" i="27"/>
  <c r="L8" i="27"/>
  <c r="E9" i="27"/>
  <c r="F9" i="27"/>
  <c r="H9" i="27"/>
  <c r="I9" i="27"/>
  <c r="K9" i="27"/>
  <c r="L9" i="27"/>
  <c r="E11" i="27"/>
  <c r="F11" i="27"/>
  <c r="H11" i="27"/>
  <c r="I11" i="27"/>
  <c r="K11" i="27"/>
  <c r="L11" i="27"/>
  <c r="E12" i="27"/>
  <c r="F12" i="27"/>
  <c r="H12" i="27"/>
  <c r="I12" i="27"/>
  <c r="K12" i="27"/>
  <c r="L12" i="27"/>
  <c r="E14" i="27"/>
  <c r="F14" i="27"/>
  <c r="H14" i="27"/>
  <c r="I14" i="27"/>
  <c r="K14" i="27"/>
  <c r="L14" i="27"/>
  <c r="E13" i="27"/>
  <c r="F13" i="27"/>
  <c r="I13" i="27"/>
  <c r="E16" i="27"/>
  <c r="F16" i="27"/>
  <c r="H16" i="27"/>
  <c r="I16" i="27"/>
  <c r="K16" i="27"/>
  <c r="L16" i="27"/>
  <c r="E17" i="27"/>
  <c r="F17" i="27"/>
  <c r="I17" i="27"/>
  <c r="K17" i="27"/>
  <c r="L17" i="27"/>
  <c r="E18" i="27"/>
  <c r="F18" i="27"/>
  <c r="H18" i="27"/>
  <c r="I18" i="27"/>
  <c r="K18" i="27"/>
  <c r="L18" i="27"/>
  <c r="E19" i="27"/>
  <c r="F19" i="27"/>
  <c r="H19" i="27"/>
  <c r="I19" i="27"/>
  <c r="K19" i="27"/>
  <c r="L19" i="27"/>
  <c r="E21" i="27"/>
  <c r="F21" i="27"/>
  <c r="I21" i="27"/>
  <c r="K21" i="27"/>
  <c r="E20" i="27"/>
  <c r="F20" i="27"/>
  <c r="H20" i="27"/>
  <c r="K20" i="27"/>
  <c r="L20" i="27"/>
  <c r="E23" i="27"/>
  <c r="F23" i="27"/>
  <c r="H23" i="27"/>
  <c r="I23" i="27"/>
  <c r="K23" i="27"/>
  <c r="L23" i="27"/>
  <c r="E24" i="27"/>
  <c r="F24" i="27"/>
  <c r="H24" i="27"/>
  <c r="I24" i="27"/>
  <c r="K24" i="27"/>
  <c r="L24" i="27"/>
  <c r="E7" i="32"/>
  <c r="F7" i="32"/>
  <c r="H7" i="32"/>
  <c r="I7" i="32"/>
  <c r="K7" i="32"/>
  <c r="L7" i="32"/>
  <c r="E8" i="32"/>
  <c r="F8" i="32"/>
  <c r="H8" i="32"/>
  <c r="I8" i="32"/>
  <c r="K8" i="32"/>
  <c r="L8" i="32"/>
  <c r="E9" i="32"/>
  <c r="F9" i="32"/>
  <c r="H9" i="32"/>
  <c r="I9" i="32"/>
  <c r="K9" i="32"/>
  <c r="L9" i="32"/>
  <c r="E10" i="32"/>
  <c r="F10" i="32"/>
  <c r="H10" i="32"/>
  <c r="I10" i="32"/>
  <c r="K10" i="32"/>
  <c r="L10" i="32"/>
  <c r="E11" i="32"/>
  <c r="F11" i="32"/>
  <c r="H11" i="32"/>
  <c r="I11" i="32"/>
  <c r="K11" i="32"/>
  <c r="L11" i="32"/>
  <c r="E12" i="32"/>
  <c r="F12" i="32"/>
  <c r="H12" i="32"/>
  <c r="I12" i="32"/>
  <c r="K12" i="32"/>
  <c r="L12" i="32"/>
  <c r="E13" i="32"/>
  <c r="F13" i="32"/>
  <c r="H13" i="32"/>
  <c r="I13" i="32"/>
  <c r="K13" i="32"/>
  <c r="L13" i="32"/>
  <c r="E14" i="32"/>
  <c r="F14" i="32"/>
  <c r="I14" i="32"/>
  <c r="K14" i="32"/>
  <c r="L14" i="32"/>
  <c r="E15" i="32"/>
  <c r="F15" i="32"/>
  <c r="K15" i="32"/>
  <c r="L15" i="32"/>
  <c r="E16" i="32"/>
  <c r="F16" i="32"/>
  <c r="H16" i="32"/>
  <c r="I16" i="32"/>
  <c r="K16" i="32"/>
  <c r="L16" i="32"/>
  <c r="E17" i="32"/>
  <c r="F17" i="32"/>
  <c r="I17" i="32"/>
  <c r="K17" i="32"/>
  <c r="L17" i="32"/>
  <c r="E18" i="32"/>
  <c r="F18" i="32"/>
  <c r="K18" i="32"/>
  <c r="L18" i="32"/>
  <c r="E19" i="32"/>
  <c r="F19" i="32"/>
  <c r="H19" i="32"/>
  <c r="I19" i="32"/>
  <c r="K19" i="32"/>
  <c r="E20" i="32"/>
  <c r="F20" i="32"/>
  <c r="H20" i="32"/>
  <c r="I20" i="32"/>
  <c r="K20" i="32"/>
  <c r="L20" i="32"/>
  <c r="E7" i="13"/>
  <c r="F7" i="13"/>
  <c r="H7" i="13"/>
  <c r="I7" i="13"/>
  <c r="K7" i="13"/>
  <c r="L7" i="13"/>
  <c r="E8" i="13"/>
  <c r="F8" i="13"/>
  <c r="I8" i="13"/>
  <c r="K8" i="13"/>
  <c r="L8" i="13"/>
  <c r="E9" i="13"/>
  <c r="F9" i="13"/>
  <c r="H9" i="13"/>
  <c r="I9" i="13"/>
  <c r="K9" i="13"/>
  <c r="L9" i="13"/>
  <c r="E10" i="13"/>
  <c r="F10" i="13"/>
  <c r="H10" i="13"/>
  <c r="I10" i="13"/>
  <c r="K10" i="13"/>
  <c r="L10" i="13"/>
  <c r="E11" i="13"/>
  <c r="F11" i="13"/>
  <c r="H11" i="13"/>
  <c r="I11" i="13"/>
  <c r="K11" i="13"/>
  <c r="L11" i="13"/>
  <c r="E12" i="13"/>
  <c r="F12" i="13"/>
  <c r="H12" i="13"/>
  <c r="I12" i="13"/>
  <c r="K12" i="13"/>
  <c r="L12" i="13"/>
  <c r="E13" i="13"/>
  <c r="F13" i="13"/>
  <c r="K13" i="13"/>
  <c r="L13" i="13"/>
  <c r="E14" i="13"/>
  <c r="F14" i="13"/>
  <c r="K14" i="13"/>
  <c r="L14" i="13"/>
  <c r="E15" i="13"/>
  <c r="F15" i="13"/>
  <c r="H15" i="13"/>
  <c r="I15" i="13"/>
  <c r="K15" i="13"/>
  <c r="L15" i="13"/>
  <c r="E16" i="13"/>
  <c r="F16" i="13"/>
  <c r="H16" i="13"/>
  <c r="I16" i="13"/>
  <c r="K16" i="13"/>
  <c r="E17" i="13"/>
  <c r="F17" i="13"/>
  <c r="H17" i="13"/>
  <c r="I17" i="13"/>
  <c r="K17" i="13"/>
  <c r="L17" i="13"/>
  <c r="E18" i="13"/>
  <c r="F18" i="13"/>
  <c r="H18" i="13"/>
  <c r="I18" i="13"/>
  <c r="K18" i="13"/>
  <c r="L18" i="13"/>
  <c r="E20" i="13"/>
  <c r="F20" i="13"/>
  <c r="H20" i="13"/>
  <c r="I20" i="13"/>
  <c r="K20" i="13"/>
  <c r="L20" i="13"/>
  <c r="E21" i="13"/>
  <c r="F21" i="13"/>
  <c r="H21" i="13"/>
  <c r="I21" i="13"/>
  <c r="K21" i="13"/>
  <c r="L21" i="13"/>
  <c r="E22" i="13"/>
  <c r="H22" i="13"/>
  <c r="I22" i="13"/>
  <c r="K22" i="13"/>
  <c r="H23" i="13"/>
  <c r="I23" i="13"/>
  <c r="E7" i="23"/>
  <c r="F7" i="23"/>
  <c r="H7" i="23"/>
  <c r="I7" i="23"/>
  <c r="K7" i="23"/>
  <c r="L7" i="23"/>
  <c r="E9" i="23"/>
  <c r="F9" i="23"/>
  <c r="H9" i="23"/>
  <c r="I9" i="23"/>
  <c r="K9" i="23"/>
  <c r="L9" i="23"/>
  <c r="E10" i="23"/>
  <c r="F10" i="23"/>
  <c r="H10" i="23"/>
  <c r="I10" i="23"/>
  <c r="K10" i="23"/>
  <c r="L10" i="23"/>
  <c r="E11" i="23"/>
  <c r="F11" i="23"/>
  <c r="H11" i="23"/>
  <c r="I11" i="23"/>
  <c r="K11" i="23"/>
  <c r="L11" i="23"/>
  <c r="E12" i="23"/>
  <c r="F12" i="23"/>
  <c r="K12" i="23"/>
  <c r="L12" i="23"/>
  <c r="E13" i="23"/>
  <c r="F13" i="23"/>
  <c r="H13" i="23"/>
  <c r="I13" i="23"/>
  <c r="K13" i="23"/>
  <c r="L13" i="23"/>
  <c r="E14" i="23"/>
  <c r="F14" i="23"/>
  <c r="H14" i="23"/>
  <c r="I14" i="23"/>
  <c r="K14" i="23"/>
  <c r="L14" i="23"/>
  <c r="E15" i="23"/>
  <c r="F15" i="23"/>
  <c r="H15" i="23"/>
  <c r="I15" i="23"/>
  <c r="K15" i="23"/>
  <c r="L15" i="23"/>
  <c r="E16" i="23"/>
  <c r="F16" i="23"/>
  <c r="H16" i="23"/>
  <c r="I16" i="23"/>
  <c r="K16" i="23"/>
  <c r="L16" i="23"/>
  <c r="E17" i="23"/>
  <c r="F17" i="23"/>
  <c r="I17" i="23"/>
  <c r="K17" i="23"/>
  <c r="L17" i="23"/>
  <c r="E18" i="23"/>
  <c r="F18" i="23"/>
  <c r="H18" i="23"/>
  <c r="I18" i="23"/>
  <c r="K18" i="23"/>
  <c r="L18" i="23"/>
  <c r="E19" i="23"/>
  <c r="F19" i="23"/>
  <c r="H19" i="23"/>
  <c r="I19" i="23"/>
  <c r="K19" i="23"/>
  <c r="L19" i="23"/>
  <c r="E20" i="23"/>
  <c r="F20" i="23"/>
  <c r="H20" i="23"/>
  <c r="I20" i="23"/>
  <c r="K20" i="23"/>
  <c r="L20" i="23"/>
  <c r="E21" i="23"/>
  <c r="F21" i="23"/>
  <c r="I21" i="23"/>
  <c r="K21" i="23"/>
  <c r="L21" i="23"/>
  <c r="E7" i="7"/>
  <c r="F7" i="7"/>
  <c r="H7" i="7"/>
  <c r="I7" i="7"/>
  <c r="K7" i="7"/>
  <c r="L7" i="7"/>
  <c r="E8" i="7"/>
  <c r="F8" i="7"/>
  <c r="H8" i="7"/>
  <c r="I8" i="7"/>
  <c r="K8" i="7"/>
  <c r="L8" i="7"/>
  <c r="E9" i="7"/>
  <c r="F9" i="7"/>
  <c r="F10" i="7"/>
  <c r="F11" i="7"/>
  <c r="F12" i="7"/>
  <c r="F13" i="7"/>
  <c r="F15" i="7"/>
  <c r="F16" i="7"/>
  <c r="F17" i="7"/>
  <c r="F18" i="7"/>
  <c r="F19" i="7"/>
  <c r="F21" i="7"/>
  <c r="H9" i="7"/>
  <c r="I9" i="7"/>
  <c r="K9" i="7"/>
  <c r="L9" i="7"/>
  <c r="E10" i="7"/>
  <c r="H10" i="7"/>
  <c r="I10" i="7"/>
  <c r="K10" i="7"/>
  <c r="L10" i="7"/>
  <c r="E11" i="7"/>
  <c r="H11" i="7"/>
  <c r="I11" i="7"/>
  <c r="K11" i="7"/>
  <c r="L11" i="7"/>
  <c r="E12" i="7"/>
  <c r="H12" i="7"/>
  <c r="I12" i="7"/>
  <c r="K12" i="7"/>
  <c r="L12" i="7"/>
  <c r="E13" i="7"/>
  <c r="H13" i="7"/>
  <c r="I13" i="7"/>
  <c r="K13" i="7"/>
  <c r="L13" i="7"/>
  <c r="E15" i="7"/>
  <c r="H15" i="7"/>
  <c r="I15" i="7"/>
  <c r="K15" i="7"/>
  <c r="L15" i="7"/>
  <c r="I16" i="7"/>
  <c r="K16" i="7"/>
  <c r="L16" i="7"/>
  <c r="N16" i="7"/>
  <c r="O16" i="7"/>
  <c r="P16" i="7"/>
  <c r="E17" i="7"/>
  <c r="H17" i="7"/>
  <c r="I17" i="7"/>
  <c r="K17" i="7"/>
  <c r="L17" i="7"/>
  <c r="E18" i="7"/>
  <c r="H18" i="7"/>
  <c r="K18" i="7"/>
  <c r="L18" i="7"/>
  <c r="E19" i="7"/>
  <c r="I19" i="7"/>
  <c r="K19" i="7"/>
  <c r="L19" i="7"/>
  <c r="E20" i="7"/>
  <c r="F20" i="7"/>
  <c r="I20" i="7"/>
  <c r="K20" i="7"/>
  <c r="L20" i="7"/>
  <c r="E7" i="16"/>
  <c r="F7" i="16"/>
  <c r="I7" i="16"/>
  <c r="K7" i="16"/>
  <c r="L7" i="16"/>
  <c r="E8" i="16"/>
  <c r="F8" i="16"/>
  <c r="I8" i="16"/>
  <c r="K8" i="16"/>
  <c r="L8" i="16"/>
  <c r="E9" i="16"/>
  <c r="F9" i="16"/>
  <c r="H9" i="16"/>
  <c r="I9" i="16"/>
  <c r="K9" i="16"/>
  <c r="L9" i="16"/>
  <c r="E10" i="16"/>
  <c r="F10" i="16"/>
  <c r="H10" i="16"/>
  <c r="I10" i="16"/>
  <c r="K10" i="16"/>
  <c r="L10" i="16"/>
  <c r="E11" i="16"/>
  <c r="F11" i="16"/>
  <c r="H11" i="16"/>
  <c r="I11" i="16"/>
  <c r="K11" i="16"/>
  <c r="L11" i="16"/>
  <c r="F12" i="16"/>
  <c r="I12" i="16"/>
  <c r="K12" i="16"/>
  <c r="L12" i="16"/>
  <c r="E13" i="16"/>
  <c r="F13" i="16"/>
  <c r="H13" i="16"/>
  <c r="I13" i="16"/>
  <c r="K13" i="16"/>
  <c r="L13" i="16"/>
  <c r="E14" i="16"/>
  <c r="F14" i="16"/>
  <c r="H14" i="16"/>
  <c r="I14" i="16"/>
  <c r="K14" i="16"/>
  <c r="L14" i="16"/>
  <c r="E15" i="16"/>
  <c r="F15" i="16"/>
  <c r="K15" i="16"/>
  <c r="L15" i="16"/>
  <c r="E16" i="16"/>
  <c r="F16" i="16"/>
  <c r="H16" i="16"/>
  <c r="I16" i="16"/>
  <c r="K16" i="16"/>
  <c r="E17" i="16"/>
  <c r="F17" i="16"/>
  <c r="L17" i="16"/>
  <c r="E18" i="16"/>
  <c r="F18" i="16"/>
  <c r="H18" i="16"/>
  <c r="I18" i="16"/>
  <c r="K18" i="16"/>
  <c r="L18" i="16"/>
  <c r="E19" i="16"/>
  <c r="F19" i="16"/>
  <c r="H19" i="16"/>
  <c r="I19" i="16"/>
  <c r="K19" i="16"/>
  <c r="L19" i="16"/>
  <c r="E20" i="16"/>
  <c r="F20" i="16"/>
  <c r="K20" i="16"/>
  <c r="L20" i="16"/>
  <c r="E21" i="16"/>
  <c r="F21" i="16"/>
  <c r="H21" i="16"/>
  <c r="I21" i="16"/>
  <c r="K21" i="16"/>
  <c r="L21" i="16"/>
  <c r="E22" i="16"/>
  <c r="F22" i="16"/>
  <c r="H22" i="16"/>
  <c r="I22" i="16"/>
  <c r="K22" i="16"/>
  <c r="E23" i="16"/>
  <c r="F23" i="16"/>
  <c r="I23" i="16"/>
  <c r="K23" i="16"/>
  <c r="L23" i="16"/>
  <c r="E7" i="22"/>
  <c r="F7" i="22"/>
  <c r="H7" i="22"/>
  <c r="I7" i="22"/>
  <c r="K7" i="22"/>
  <c r="L7" i="22"/>
  <c r="E8" i="22"/>
  <c r="F8" i="22"/>
  <c r="H8" i="22"/>
  <c r="I8" i="22"/>
  <c r="K8" i="22"/>
  <c r="L8" i="22"/>
  <c r="E9" i="22"/>
  <c r="F9" i="22"/>
  <c r="H9" i="22"/>
  <c r="I9" i="22"/>
  <c r="K9" i="22"/>
  <c r="L9" i="22"/>
  <c r="E10" i="22"/>
  <c r="F10" i="22"/>
  <c r="H10" i="22"/>
  <c r="I10" i="22"/>
  <c r="K10" i="22"/>
  <c r="L10" i="22"/>
  <c r="E11" i="22"/>
  <c r="F11" i="22"/>
  <c r="H11" i="22"/>
  <c r="I11" i="22"/>
  <c r="K11" i="22"/>
  <c r="L11" i="22"/>
  <c r="E12" i="22"/>
  <c r="F12" i="22"/>
  <c r="H12" i="22"/>
  <c r="I12" i="22"/>
  <c r="K12" i="22"/>
  <c r="L12" i="22"/>
  <c r="E13" i="22"/>
  <c r="F13" i="22"/>
  <c r="H13" i="22"/>
  <c r="I13" i="22"/>
  <c r="K13" i="22"/>
  <c r="L13" i="22"/>
  <c r="E14" i="22"/>
  <c r="F14" i="22"/>
  <c r="I14" i="22"/>
  <c r="L14" i="22"/>
  <c r="E16" i="22"/>
  <c r="F16" i="22"/>
  <c r="H16" i="22"/>
  <c r="I16" i="22"/>
  <c r="K16" i="22"/>
  <c r="L16" i="22"/>
  <c r="E18" i="22"/>
  <c r="F18" i="22"/>
  <c r="I18" i="22"/>
  <c r="K18" i="22"/>
  <c r="L18" i="22"/>
  <c r="E19" i="22"/>
  <c r="F19" i="22"/>
  <c r="H19" i="22"/>
  <c r="I19" i="22"/>
  <c r="K19" i="22"/>
  <c r="L19" i="22"/>
  <c r="E20" i="22"/>
  <c r="F20" i="22"/>
  <c r="K20" i="22"/>
  <c r="L20" i="22"/>
  <c r="E21" i="22"/>
  <c r="F21" i="22"/>
  <c r="H21" i="22"/>
  <c r="I21" i="22"/>
  <c r="K21" i="22"/>
  <c r="L21" i="22"/>
  <c r="E22" i="22"/>
  <c r="F22" i="22"/>
  <c r="H22" i="22"/>
  <c r="I22" i="22"/>
  <c r="K22" i="2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V8" authorId="0" shapeId="0" xr:uid="{00000000-0006-0000-0000-000017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V9" authorId="0" shapeId="0" xr:uid="{00000000-0006-0000-0100-000017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V7" authorId="0" shapeId="0" xr:uid="{00000000-0006-0000-0200-000017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8" authorId="0" shapeId="0" xr:uid="{00000000-0006-0000-0200-000018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9" authorId="0" shapeId="0" xr:uid="{00000000-0006-0000-0200-000019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0" authorId="0" shapeId="0" xr:uid="{00000000-0006-0000-0200-00001A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1" authorId="0" shapeId="0" xr:uid="{00000000-0006-0000-0200-00001B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2" authorId="0" shapeId="0" xr:uid="{00000000-0006-0000-0200-00001C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3" authorId="0" shapeId="0" xr:uid="{00000000-0006-0000-0200-00001D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4" authorId="0" shapeId="0" xr:uid="{00000000-0006-0000-0200-00001E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5" authorId="0" shapeId="0" xr:uid="{00000000-0006-0000-0200-00001F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6" authorId="0" shapeId="0" xr:uid="{00000000-0006-0000-0200-000020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7" authorId="0" shapeId="0" xr:uid="{00000000-0006-0000-0200-000021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8" authorId="0" shapeId="0" xr:uid="{00000000-0006-0000-0200-000022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9" authorId="0" shapeId="0" xr:uid="{00000000-0006-0000-0200-000023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0" authorId="0" shapeId="0" xr:uid="{00000000-0006-0000-0200-000024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V7" authorId="0" shapeId="0" xr:uid="{00000000-0006-0000-0300-000017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8" authorId="0" shapeId="0" xr:uid="{00000000-0006-0000-0300-000018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9" authorId="0" shapeId="0" xr:uid="{00000000-0006-0000-0300-000019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0" authorId="0" shapeId="0" xr:uid="{00000000-0006-0000-0300-00001A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1" authorId="0" shapeId="0" xr:uid="{00000000-0006-0000-0300-00001B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2" authorId="0" shapeId="0" xr:uid="{00000000-0006-0000-0300-00001C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3" authorId="0" shapeId="0" xr:uid="{00000000-0006-0000-0300-00001D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4" authorId="0" shapeId="0" xr:uid="{00000000-0006-0000-0300-00001E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5" authorId="0" shapeId="0" xr:uid="{00000000-0006-0000-0300-00001F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6" authorId="0" shapeId="0" xr:uid="{00000000-0006-0000-0300-000020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7" authorId="0" shapeId="0" xr:uid="{00000000-0006-0000-0300-000021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8" authorId="0" shapeId="0" xr:uid="{00000000-0006-0000-0300-000022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0" authorId="0" shapeId="0" xr:uid="{00000000-0006-0000-0300-000023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V17" authorId="0" shapeId="0" xr:uid="{00000000-0006-0000-0400-000017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V8" authorId="0" shapeId="0" xr:uid="{00000000-0006-0000-0500-000017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9" authorId="0" shapeId="0" xr:uid="{00000000-0006-0000-0500-000018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0" authorId="0" shapeId="0" xr:uid="{00000000-0006-0000-0500-000019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1" authorId="0" shapeId="0" xr:uid="{00000000-0006-0000-0500-00001A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2" authorId="0" shapeId="0" xr:uid="{00000000-0006-0000-0500-00001B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3" authorId="0" shapeId="0" xr:uid="{00000000-0006-0000-0500-00001C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4" authorId="0" shapeId="0" xr:uid="{00000000-0006-0000-0500-00001D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5" authorId="0" shapeId="0" xr:uid="{00000000-0006-0000-0500-00001E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6" authorId="0" shapeId="0" xr:uid="{00000000-0006-0000-0500-00001F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7" authorId="0" shapeId="0" xr:uid="{00000000-0006-0000-0500-000020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8" authorId="0" shapeId="0" xr:uid="{00000000-0006-0000-0500-000021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9" authorId="0" shapeId="0" xr:uid="{00000000-0006-0000-0500-000022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0" authorId="0" shapeId="0" xr:uid="{00000000-0006-0000-0500-000023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V8" authorId="0" shapeId="0" xr:uid="{00000000-0006-0000-0600-000017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9" authorId="0" shapeId="0" xr:uid="{00000000-0006-0000-0600-000018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0" authorId="0" shapeId="0" xr:uid="{00000000-0006-0000-0600-000019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1" authorId="0" shapeId="0" xr:uid="{00000000-0006-0000-0600-00001A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2" authorId="0" shapeId="0" xr:uid="{00000000-0006-0000-0600-00001B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5" authorId="0" shapeId="0" xr:uid="{00000000-0006-0000-0600-00001C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6" authorId="0" shapeId="0" xr:uid="{00000000-0006-0000-0600-00001D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7" authorId="0" shapeId="0" xr:uid="{00000000-0006-0000-0600-00001E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9" authorId="0" shapeId="0" xr:uid="{00000000-0006-0000-0600-00001F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0" authorId="0" shapeId="0" xr:uid="{00000000-0006-0000-0600-000020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2" authorId="0" shapeId="0" xr:uid="{00000000-0006-0000-0600-000021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3" authorId="0" shapeId="0" xr:uid="{00000000-0006-0000-0600-000022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4" authorId="0" shapeId="0" xr:uid="{00000000-0006-0000-0600-000023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V7" authorId="0" shapeId="0" xr:uid="{00000000-0006-0000-0700-000017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9" authorId="0" shapeId="0" xr:uid="{00000000-0006-0000-0700-000018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0" authorId="0" shapeId="0" xr:uid="{00000000-0006-0000-0700-000019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1" authorId="0" shapeId="0" xr:uid="{00000000-0006-0000-0700-00001A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2" authorId="0" shapeId="0" xr:uid="{00000000-0006-0000-0700-00001B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4" authorId="0" shapeId="0" xr:uid="{00000000-0006-0000-0700-00001C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7" authorId="0" shapeId="0" xr:uid="{00000000-0006-0000-0700-00001D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8" authorId="0" shapeId="0" xr:uid="{00000000-0006-0000-0700-00001E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9" authorId="0" shapeId="0" xr:uid="{00000000-0006-0000-0700-00001F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V7" authorId="0" shapeId="0" xr:uid="{00000000-0006-0000-0800-000017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8" authorId="0" shapeId="0" xr:uid="{00000000-0006-0000-0800-000018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9" authorId="0" shapeId="0" xr:uid="{00000000-0006-0000-0800-000019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1" authorId="0" shapeId="0" xr:uid="{00000000-0006-0000-0800-00001A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5" authorId="0" shapeId="0" xr:uid="{00000000-0006-0000-0800-00001B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7" authorId="0" shapeId="0" xr:uid="{00000000-0006-0000-0800-00001C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8" authorId="0" shapeId="0" xr:uid="{00000000-0006-0000-0800-00001D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9" authorId="0" shapeId="0" xr:uid="{00000000-0006-0000-0800-00001E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V7" authorId="0" shapeId="0" xr:uid="{00000000-0006-0000-0900-000017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8" authorId="0" shapeId="0" xr:uid="{00000000-0006-0000-0900-000018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9" authorId="0" shapeId="0" xr:uid="{00000000-0006-0000-0900-000019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1" authorId="0" shapeId="0" xr:uid="{00000000-0006-0000-0900-00001A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3" authorId="0" shapeId="0" xr:uid="{00000000-0006-0000-0900-00001B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5" authorId="0" shapeId="0" xr:uid="{00000000-0006-0000-0900-00001C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6" authorId="0" shapeId="0" xr:uid="{00000000-0006-0000-0900-00001D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7" authorId="0" shapeId="0" xr:uid="{00000000-0006-0000-0900-00001E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8" authorId="0" shapeId="0" xr:uid="{00000000-0006-0000-0900-00001F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9" authorId="0" shapeId="0" xr:uid="{00000000-0006-0000-0900-000020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0" authorId="0" shapeId="0" xr:uid="{00000000-0006-0000-0900-000021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V8" authorId="0" shapeId="0" xr:uid="{00000000-0006-0000-0A00-000017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9" authorId="0" shapeId="0" xr:uid="{00000000-0006-0000-0A00-000018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0" authorId="0" shapeId="0" xr:uid="{00000000-0006-0000-0A00-000019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1" authorId="0" shapeId="0" xr:uid="{00000000-0006-0000-0A00-00001A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3" authorId="0" shapeId="0" xr:uid="{00000000-0006-0000-0A00-00001B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4" authorId="0" shapeId="0" xr:uid="{00000000-0006-0000-0A00-00001C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6" authorId="0" shapeId="0" xr:uid="{00000000-0006-0000-0A00-00001D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8" authorId="0" shapeId="0" xr:uid="{00000000-0006-0000-0A00-00001E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0" authorId="0" shapeId="0" xr:uid="{00000000-0006-0000-0A00-00001F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1" authorId="0" shapeId="0" xr:uid="{00000000-0006-0000-0A00-000020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2" authorId="0" shapeId="0" xr:uid="{00000000-0006-0000-0A00-000021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V7" authorId="0" shapeId="0" xr:uid="{00000000-0006-0000-0B00-000017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1" authorId="0" shapeId="0" xr:uid="{00000000-0006-0000-0B00-000018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2" authorId="0" shapeId="0" xr:uid="{00000000-0006-0000-0B00-000019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3" authorId="0" shapeId="0" xr:uid="{00000000-0006-0000-0B00-00001A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5" authorId="0" shapeId="0" xr:uid="{00000000-0006-0000-0B00-00001B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6" authorId="0" shapeId="0" xr:uid="{00000000-0006-0000-0B00-00001C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7" authorId="0" shapeId="0" xr:uid="{00000000-0006-0000-0B00-00001D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9" authorId="0" shapeId="0" xr:uid="{00000000-0006-0000-0B00-00001E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0" authorId="0" shapeId="0" xr:uid="{00000000-0006-0000-0B00-00001F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V7" authorId="0" shapeId="0" xr:uid="{00000000-0006-0000-1100-000017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9" authorId="0" shapeId="0" xr:uid="{00000000-0006-0000-1100-000018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2" authorId="0" shapeId="0" xr:uid="{00000000-0006-0000-1100-000019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4" authorId="0" shapeId="0" xr:uid="{00000000-0006-0000-1100-00001A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5" authorId="0" shapeId="0" xr:uid="{00000000-0006-0000-1100-00001B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6" authorId="0" shapeId="0" xr:uid="{00000000-0006-0000-1100-00001C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9" authorId="0" shapeId="0" xr:uid="{00000000-0006-0000-1100-00001D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V8" authorId="0" shapeId="0" xr:uid="{00000000-0006-0000-0C00-000017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1" authorId="0" shapeId="0" xr:uid="{00000000-0006-0000-0C00-000018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2" authorId="0" shapeId="0" xr:uid="{00000000-0006-0000-0C00-000019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3" authorId="0" shapeId="0" xr:uid="{00000000-0006-0000-0C00-00001A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4" authorId="0" shapeId="0" xr:uid="{00000000-0006-0000-0C00-00001B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5" authorId="0" shapeId="0" xr:uid="{00000000-0006-0000-0C00-00001C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6" authorId="0" shapeId="0" xr:uid="{00000000-0006-0000-0C00-00001D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7" authorId="0" shapeId="0" xr:uid="{00000000-0006-0000-0C00-00001E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8" authorId="0" shapeId="0" xr:uid="{00000000-0006-0000-0C00-00001F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V7" authorId="0" shapeId="0" xr:uid="{00000000-0006-0000-0D00-000017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8" authorId="0" shapeId="0" xr:uid="{00000000-0006-0000-0D00-000018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9" authorId="0" shapeId="0" xr:uid="{00000000-0006-0000-0D00-000019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0" authorId="0" shapeId="0" xr:uid="{00000000-0006-0000-0D00-00001A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1" authorId="0" shapeId="0" xr:uid="{00000000-0006-0000-0D00-00001B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2" authorId="0" shapeId="0" xr:uid="{00000000-0006-0000-0D00-00001C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5" authorId="0" shapeId="0" xr:uid="{00000000-0006-0000-0D00-00001D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6" authorId="0" shapeId="0" xr:uid="{00000000-0006-0000-0D00-00001E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9" authorId="0" shapeId="0" xr:uid="{00000000-0006-0000-0D00-00001F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V7" authorId="0" shapeId="0" xr:uid="{00000000-0006-0000-0E00-000017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8" authorId="0" shapeId="0" xr:uid="{00000000-0006-0000-0E00-000018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9" authorId="0" shapeId="0" xr:uid="{00000000-0006-0000-0E00-00001A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0" authorId="0" shapeId="0" xr:uid="{00000000-0006-0000-0E00-000019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3" authorId="0" shapeId="0" xr:uid="{00000000-0006-0000-0E00-00001B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5" authorId="0" shapeId="0" xr:uid="{00000000-0006-0000-0E00-00001C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8" authorId="0" shapeId="0" xr:uid="{00000000-0006-0000-0E00-00001D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9" authorId="0" shapeId="0" xr:uid="{00000000-0006-0000-0E00-00001E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0" authorId="0" shapeId="0" xr:uid="{00000000-0006-0000-0E00-00001F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1" authorId="0" shapeId="0" xr:uid="{00000000-0006-0000-0E00-000020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3" authorId="0" shapeId="0" xr:uid="{00000000-0006-0000-0E00-000021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4" authorId="0" shapeId="0" xr:uid="{00000000-0006-0000-0E00-000022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B7" authorId="0" shapeId="0" xr:uid="{00000000-0006-0000-0F00-000017000000}">
      <text>
        <r>
          <rPr>
            <b/>
            <sz val="9"/>
            <color indexed="81"/>
            <rFont val="Tahoma"/>
            <family val="2"/>
          </rPr>
          <t>CRIOLLO
MAYOR</t>
        </r>
      </text>
    </comment>
    <comment ref="V8" authorId="0" shapeId="0" xr:uid="{00000000-0006-0000-0F00-000018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0" authorId="0" shapeId="0" xr:uid="{00000000-0006-0000-0F00-000019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1" authorId="0" shapeId="0" xr:uid="{00000000-0006-0000-0F00-00001A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4" authorId="0" shapeId="0" xr:uid="{00000000-0006-0000-0F00-00001B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5" authorId="0" shapeId="0" xr:uid="{00000000-0006-0000-0F00-00001C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6" authorId="0" shapeId="0" xr:uid="{00000000-0006-0000-0F00-00001D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8" authorId="0" shapeId="0" xr:uid="{00000000-0006-0000-0F00-00001E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9" authorId="0" shapeId="0" xr:uid="{00000000-0006-0000-0F00-00001F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0" authorId="0" shapeId="0" xr:uid="{00000000-0006-0000-0F00-000020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1" authorId="0" shapeId="0" xr:uid="{00000000-0006-0000-0F00-000021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2" authorId="0" shapeId="0" xr:uid="{00000000-0006-0000-0F00-000022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3" authorId="0" shapeId="0" xr:uid="{00000000-0006-0000-0F00-000023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4" authorId="0" shapeId="0" xr:uid="{00000000-0006-0000-0F00-000024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5" authorId="0" shapeId="0" xr:uid="{00000000-0006-0000-0F00-000025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6" authorId="0" shapeId="0" xr:uid="{00000000-0006-0000-0F00-000026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V7" authorId="0" shapeId="0" xr:uid="{00000000-0006-0000-1000-000017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8" authorId="0" shapeId="0" xr:uid="{00000000-0006-0000-1000-000018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1" authorId="0" shapeId="0" xr:uid="{00000000-0006-0000-1000-000019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3" authorId="0" shapeId="0" xr:uid="{00000000-0006-0000-1000-00001A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5" authorId="0" shapeId="0" xr:uid="{00000000-0006-0000-1000-00001B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6" authorId="0" shapeId="0" xr:uid="{00000000-0006-0000-1000-00001C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9" authorId="0" shapeId="0" xr:uid="{00000000-0006-0000-1000-00001D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0" authorId="0" shapeId="0" xr:uid="{00000000-0006-0000-1000-00001E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21" authorId="0" shapeId="0" xr:uid="{00000000-0006-0000-1000-00001F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comments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V7" authorId="0" shapeId="0" xr:uid="{00000000-0006-0000-1200-000017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9" authorId="0" shapeId="0" xr:uid="{00000000-0006-0000-1200-000018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0" authorId="0" shapeId="0" xr:uid="{00000000-0006-0000-1200-000019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4" authorId="0" shapeId="0" xr:uid="{00000000-0006-0000-1200-00001A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6" authorId="0" shapeId="0" xr:uid="{00000000-0006-0000-1200-00001B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  <comment ref="V18" authorId="0" shapeId="0" xr:uid="{00000000-0006-0000-1200-00001C000000}">
      <text>
        <r>
          <rPr>
            <sz val="9"/>
            <color indexed="81"/>
            <rFont val="Tahoma"/>
            <family val="2"/>
          </rPr>
          <t xml:space="preserve">    SIN
REGISTRO</t>
        </r>
      </text>
    </comment>
  </commentList>
</comments>
</file>

<file path=xl/sharedStrings.xml><?xml version="1.0" encoding="utf-8"?>
<sst xmlns="http://schemas.openxmlformats.org/spreadsheetml/2006/main" count="1860" uniqueCount="599">
  <si>
    <t>TROTAMUNDOS DE CARABOBO</t>
  </si>
  <si>
    <t>RÉCORD FR 20-3 (87,0%) - POSICIÓN FINAL: CAMPEÓN</t>
  </si>
  <si>
    <t xml:space="preserve">NOMBRE </t>
  </si>
  <si>
    <t>FICHA</t>
  </si>
  <si>
    <t>PJ</t>
  </si>
  <si>
    <t>PTS</t>
  </si>
  <si>
    <t>DOBLES</t>
  </si>
  <si>
    <t>TRIPLES</t>
  </si>
  <si>
    <t>TIROS LIBRES</t>
  </si>
  <si>
    <t>REBOTES</t>
  </si>
  <si>
    <t>AS</t>
  </si>
  <si>
    <t>BLKS</t>
  </si>
  <si>
    <t>PELOTAS</t>
  </si>
  <si>
    <t>FALTAS</t>
  </si>
  <si>
    <t>MIN</t>
  </si>
  <si>
    <t>VAL</t>
  </si>
  <si>
    <t>C</t>
  </si>
  <si>
    <t>L</t>
  </si>
  <si>
    <t>%</t>
  </si>
  <si>
    <t>DE</t>
  </si>
  <si>
    <t>OF</t>
  </si>
  <si>
    <t>TOT</t>
  </si>
  <si>
    <t>PÉR.</t>
  </si>
  <si>
    <t>REC.</t>
  </si>
  <si>
    <t>FP</t>
  </si>
  <si>
    <t>FR</t>
  </si>
  <si>
    <t>COLMENARES, Néstor.</t>
  </si>
  <si>
    <t>MAY</t>
  </si>
  <si>
    <t>S/R</t>
  </si>
  <si>
    <t>30.5</t>
  </si>
  <si>
    <t>ZAMORA, Jhorman</t>
  </si>
  <si>
    <t>27.5</t>
  </si>
  <si>
    <r>
      <t xml:space="preserve">WARE, Dustin </t>
    </r>
    <r>
      <rPr>
        <b/>
        <sz val="11"/>
        <color indexed="10"/>
        <rFont val="Calibri"/>
        <family val="2"/>
      </rPr>
      <t>(X)</t>
    </r>
  </si>
  <si>
    <t>IMP</t>
  </si>
  <si>
    <t>31.4</t>
  </si>
  <si>
    <r>
      <t xml:space="preserve">THORNTON, Al </t>
    </r>
    <r>
      <rPr>
        <b/>
        <sz val="11"/>
        <color indexed="10"/>
        <rFont val="Calibri"/>
        <family val="2"/>
      </rPr>
      <t>(X)</t>
    </r>
  </si>
  <si>
    <t>18.3</t>
  </si>
  <si>
    <t>DAVIS, Dwayne</t>
  </si>
  <si>
    <t>28.5</t>
  </si>
  <si>
    <t>CUBILLAN, David</t>
  </si>
  <si>
    <t>29.3</t>
  </si>
  <si>
    <t>SMITH, Donta</t>
  </si>
  <si>
    <t>24.0</t>
  </si>
  <si>
    <r>
      <t xml:space="preserve">SIMPSON, Diamond </t>
    </r>
    <r>
      <rPr>
        <b/>
        <sz val="11"/>
        <color indexed="10"/>
        <rFont val="Calibri"/>
        <family val="2"/>
      </rPr>
      <t>(X)</t>
    </r>
  </si>
  <si>
    <t>20.3</t>
  </si>
  <si>
    <t>RUIZ, Miguel</t>
  </si>
  <si>
    <t>24.5</t>
  </si>
  <si>
    <t>BAEZ, Elvis</t>
  </si>
  <si>
    <t>LÓPEZ, Lenin</t>
  </si>
  <si>
    <t>17.2</t>
  </si>
  <si>
    <r>
      <t xml:space="preserve">MILANO, Carlos </t>
    </r>
    <r>
      <rPr>
        <b/>
        <sz val="11"/>
        <color indexed="10"/>
        <rFont val="Calibri"/>
        <family val="2"/>
      </rPr>
      <t>(X)</t>
    </r>
  </si>
  <si>
    <t>7.8</t>
  </si>
  <si>
    <t>MONTES DE OCA, Leinfer</t>
  </si>
  <si>
    <t>9.4</t>
  </si>
  <si>
    <t>MARRIAGA, Miguel</t>
  </si>
  <si>
    <t>7.9</t>
  </si>
  <si>
    <t>MÁRQUEZ, Francisco</t>
  </si>
  <si>
    <t>7.7</t>
  </si>
  <si>
    <t>MENESES, Joe</t>
  </si>
  <si>
    <t>U23</t>
  </si>
  <si>
    <t>6.1</t>
  </si>
  <si>
    <t>TOTAL TROTAMUNDOS</t>
  </si>
  <si>
    <t>TOTAL RIVALES</t>
  </si>
  <si>
    <r>
      <rPr>
        <u/>
        <sz val="11"/>
        <color rgb="FF000000"/>
        <rFont val="Calibri"/>
      </rPr>
      <t>Entrenador/es</t>
    </r>
    <r>
      <rPr>
        <sz val="11"/>
        <color rgb="FF000000"/>
        <rFont val="Calibri"/>
      </rPr>
      <t xml:space="preserve">: </t>
    </r>
    <r>
      <rPr>
        <b/>
        <sz val="11"/>
        <color rgb="FF000000"/>
        <rFont val="Calibri"/>
      </rPr>
      <t>Néstor SALAZAR.-</t>
    </r>
  </si>
  <si>
    <r>
      <t>También jugaron</t>
    </r>
    <r>
      <rPr>
        <sz val="11"/>
        <color theme="1"/>
        <rFont val="Calibri"/>
        <family val="2"/>
        <scheme val="minor"/>
      </rPr>
      <t>: Víctor SÁNCHEZ, Gabriel PINO y Carlos CHIRINOS.-</t>
    </r>
  </si>
  <si>
    <r>
      <t>(X)</t>
    </r>
    <r>
      <rPr>
        <sz val="11"/>
        <color theme="1"/>
        <rFont val="Calibri"/>
        <family val="2"/>
        <scheme val="minor"/>
      </rPr>
      <t xml:space="preserve"> = Jugador Cortado</t>
    </r>
  </si>
  <si>
    <t>COCODRILOS DE CARACAS</t>
  </si>
  <si>
    <t>RÉCORD FR 14-4 (77,8%) - POSICIÓN FINAL: 2º</t>
  </si>
  <si>
    <t>GUERRERO, Juan</t>
  </si>
  <si>
    <t>30.0</t>
  </si>
  <si>
    <t>MONTERO, Luis</t>
  </si>
  <si>
    <t>30.1</t>
  </si>
  <si>
    <t>BETHELMY, Luis</t>
  </si>
  <si>
    <t>30.2</t>
  </si>
  <si>
    <t>SOLANO, Gelvis</t>
  </si>
  <si>
    <t>27.6</t>
  </si>
  <si>
    <r>
      <t xml:space="preserve">STONE, Diamond </t>
    </r>
    <r>
      <rPr>
        <b/>
        <sz val="11"/>
        <color indexed="10"/>
        <rFont val="Calibri"/>
        <family val="2"/>
      </rPr>
      <t>(X)</t>
    </r>
  </si>
  <si>
    <t>17.3</t>
  </si>
  <si>
    <r>
      <t xml:space="preserve">IBEKWE, Ekenechukwu </t>
    </r>
    <r>
      <rPr>
        <b/>
        <sz val="11"/>
        <color indexed="10"/>
        <rFont val="Calibri"/>
        <family val="2"/>
      </rPr>
      <t>(X)</t>
    </r>
  </si>
  <si>
    <t>14.3</t>
  </si>
  <si>
    <t>CHOURIO, Pedro</t>
  </si>
  <si>
    <t>25.4</t>
  </si>
  <si>
    <t>CISNEROS, Anyelo</t>
  </si>
  <si>
    <t>17.8</t>
  </si>
  <si>
    <t>CHRISTMAS, Rakeen</t>
  </si>
  <si>
    <t>13.7</t>
  </si>
  <si>
    <t>DÍAZ, Jovanni</t>
  </si>
  <si>
    <t>13.8</t>
  </si>
  <si>
    <r>
      <t>AUSTIN, Waverly</t>
    </r>
    <r>
      <rPr>
        <b/>
        <sz val="11"/>
        <color indexed="10"/>
        <rFont val="Calibri"/>
        <family val="2"/>
      </rPr>
      <t xml:space="preserve"> (X)</t>
    </r>
  </si>
  <si>
    <t>15.0</t>
  </si>
  <si>
    <t>BETANCOURT, Luis</t>
  </si>
  <si>
    <t>12.7</t>
  </si>
  <si>
    <r>
      <t>MARTÍNEZ, Junior</t>
    </r>
    <r>
      <rPr>
        <b/>
        <sz val="11"/>
        <color indexed="10"/>
        <rFont val="Calibri"/>
        <family val="2"/>
      </rPr>
      <t xml:space="preserve"> (X)</t>
    </r>
  </si>
  <si>
    <t>12.4</t>
  </si>
  <si>
    <t>BOLIVAR, Miguel</t>
  </si>
  <si>
    <t>HERNÁNDEZ, Ernesto</t>
  </si>
  <si>
    <t>16.1</t>
  </si>
  <si>
    <t>GARCÍA, César</t>
  </si>
  <si>
    <t>18.8</t>
  </si>
  <si>
    <t>CURVELO, Gregory</t>
  </si>
  <si>
    <t>8.1</t>
  </si>
  <si>
    <t>TOTAL COCODRILOS</t>
  </si>
  <si>
    <r>
      <rPr>
        <u/>
        <sz val="11"/>
        <color rgb="FF000000"/>
        <rFont val="Calibri"/>
      </rPr>
      <t>Entrenador/es</t>
    </r>
    <r>
      <rPr>
        <sz val="11"/>
        <color rgb="FF000000"/>
        <rFont val="Calibri"/>
      </rPr>
      <t xml:space="preserve">: </t>
    </r>
    <r>
      <rPr>
        <b/>
        <sz val="11"/>
        <color rgb="FF000000"/>
        <rFont val="Calibri"/>
      </rPr>
      <t>Carl HERRERA.-</t>
    </r>
  </si>
  <si>
    <r>
      <t>También jugaron</t>
    </r>
    <r>
      <rPr>
        <sz val="11"/>
        <color theme="1"/>
        <rFont val="Calibri"/>
        <family val="2"/>
        <scheme val="minor"/>
      </rPr>
      <t>: Said PENA y Jordi APONTE.-</t>
    </r>
  </si>
  <si>
    <t>CENTAUROS DE PORTUGUESA</t>
  </si>
  <si>
    <t xml:space="preserve">RÉCORD FR 18-5 (78,3%) - POSICIÓN FINAL: 3º </t>
  </si>
  <si>
    <t>ARAUJO, Jhonatan</t>
  </si>
  <si>
    <t>28.3</t>
  </si>
  <si>
    <t>PEÑA, Kelvin</t>
  </si>
  <si>
    <t>30.4</t>
  </si>
  <si>
    <t>ARENGO, Juan</t>
  </si>
  <si>
    <t>31.2</t>
  </si>
  <si>
    <t>MORRISON, Dominique</t>
  </si>
  <si>
    <t>31.0</t>
  </si>
  <si>
    <t>FERNÁNDEZ, Martín</t>
  </si>
  <si>
    <t>30.7</t>
  </si>
  <si>
    <t>VARGAS, Javinger</t>
  </si>
  <si>
    <t>20.4</t>
  </si>
  <si>
    <t>RONDON, Jorge</t>
  </si>
  <si>
    <t>15.1</t>
  </si>
  <si>
    <r>
      <t xml:space="preserve">PIÑERO, Javier </t>
    </r>
    <r>
      <rPr>
        <b/>
        <sz val="11"/>
        <color indexed="10"/>
        <rFont val="Calibri"/>
        <family val="2"/>
      </rPr>
      <t>(X)</t>
    </r>
  </si>
  <si>
    <t>8.9</t>
  </si>
  <si>
    <t>RONDON, Duglas</t>
  </si>
  <si>
    <r>
      <t xml:space="preserve">LARD, Cameron </t>
    </r>
    <r>
      <rPr>
        <b/>
        <sz val="11"/>
        <color indexed="10"/>
        <rFont val="Calibri"/>
        <family val="2"/>
      </rPr>
      <t>(X)</t>
    </r>
  </si>
  <si>
    <t>15.6</t>
  </si>
  <si>
    <t>GERMANY, Luis</t>
  </si>
  <si>
    <t>FIGUEROA, Edixon</t>
  </si>
  <si>
    <t>LÓPEZ, Carlos</t>
  </si>
  <si>
    <t>5.3</t>
  </si>
  <si>
    <t>NUÑEZ, Irving</t>
  </si>
  <si>
    <t>6.6</t>
  </si>
  <si>
    <t>TOTAL CENTAUROS</t>
  </si>
  <si>
    <r>
      <rPr>
        <u/>
        <sz val="11"/>
        <color indexed="8"/>
        <rFont val="Calibri"/>
        <family val="2"/>
      </rPr>
      <t>Entrenador/es</t>
    </r>
    <r>
      <rPr>
        <sz val="11"/>
        <color indexed="8"/>
        <rFont val="Calibri"/>
        <family val="2"/>
      </rPr>
      <t xml:space="preserve">: </t>
    </r>
    <r>
      <rPr>
        <b/>
        <sz val="11"/>
        <color indexed="8"/>
        <rFont val="Calibri"/>
        <family val="2"/>
      </rPr>
      <t>Alexis CEDRES.-</t>
    </r>
  </si>
  <si>
    <r>
      <t>También jugaron</t>
    </r>
    <r>
      <rPr>
        <sz val="11"/>
        <color theme="1"/>
        <rFont val="Calibri"/>
        <family val="2"/>
        <scheme val="minor"/>
      </rPr>
      <t>: Naur PÉREZ, Edry GONZÁLEZ, José SULBARÁN.-</t>
    </r>
  </si>
  <si>
    <t xml:space="preserve">GUAIQUERÍES DE MARGARITA </t>
  </si>
  <si>
    <t xml:space="preserve">RÉCORD FR 23-15 (60,5%) - POSICIÓN FINAL: 4º </t>
  </si>
  <si>
    <t>JHONSON, Melvin</t>
  </si>
  <si>
    <t>27.3</t>
  </si>
  <si>
    <t>FARIED, Kenneth</t>
  </si>
  <si>
    <t>27.0</t>
  </si>
  <si>
    <t>GUILLENT, Heisslent</t>
  </si>
  <si>
    <t>26.4</t>
  </si>
  <si>
    <t>ASCANIO, José</t>
  </si>
  <si>
    <t>23.6</t>
  </si>
  <si>
    <t>YOUNG, Anthony</t>
  </si>
  <si>
    <r>
      <t>HAGINS, Jamelle</t>
    </r>
    <r>
      <rPr>
        <b/>
        <sz val="11"/>
        <color indexed="10"/>
        <rFont val="Calibri"/>
        <family val="2"/>
      </rPr>
      <t xml:space="preserve"> (X)</t>
    </r>
  </si>
  <si>
    <t>21.3</t>
  </si>
  <si>
    <t>CENTENO, Francisco</t>
  </si>
  <si>
    <t>24.7</t>
  </si>
  <si>
    <t>MARTÍNEZ, Edgar</t>
  </si>
  <si>
    <t>23.1</t>
  </si>
  <si>
    <t>CORREA, Gendry</t>
  </si>
  <si>
    <t>17.1</t>
  </si>
  <si>
    <t>SOJO, José</t>
  </si>
  <si>
    <t>18,.8</t>
  </si>
  <si>
    <t>CARRILLO, Luis</t>
  </si>
  <si>
    <t>SUTTON, Dominique</t>
  </si>
  <si>
    <t>18.0</t>
  </si>
  <si>
    <t>BASSETT, O'Darian</t>
  </si>
  <si>
    <t>18.4</t>
  </si>
  <si>
    <t>SIERRALTA, Morris</t>
  </si>
  <si>
    <t>BRITO, Jhon</t>
  </si>
  <si>
    <t>U19</t>
  </si>
  <si>
    <t xml:space="preserve">MARTINEZ, Mayron </t>
  </si>
  <si>
    <t>TOTAL GUAIQUERÍES</t>
  </si>
  <si>
    <r>
      <rPr>
        <u/>
        <sz val="11"/>
        <color indexed="8"/>
        <rFont val="Calibri"/>
        <family val="2"/>
      </rPr>
      <t>Entrenador/es</t>
    </r>
    <r>
      <rPr>
        <sz val="11"/>
        <color indexed="8"/>
        <rFont val="Calibri"/>
        <family val="2"/>
      </rPr>
      <t xml:space="preserve">: </t>
    </r>
    <r>
      <rPr>
        <b/>
        <sz val="11"/>
        <color indexed="8"/>
        <rFont val="Calibri"/>
        <family val="2"/>
      </rPr>
      <t>Pablo FAVAREL.-</t>
    </r>
  </si>
  <si>
    <r>
      <t>También jugaron</t>
    </r>
    <r>
      <rPr>
        <sz val="11"/>
        <color theme="1"/>
        <rFont val="Calibri"/>
        <family val="2"/>
        <scheme val="minor"/>
      </rPr>
      <t>: Fernando REQUENA y Cristians MOYA.-</t>
    </r>
  </si>
  <si>
    <t>GLADIADORES DE ANZOÁTEGUI</t>
  </si>
  <si>
    <t xml:space="preserve">RÉCORD FR 16-6 (72,7%) - POSICIÓN FINAL: 5º </t>
  </si>
  <si>
    <t>MAC, Sheldon</t>
  </si>
  <si>
    <t>32.4</t>
  </si>
  <si>
    <t>COLLIER, Devon</t>
  </si>
  <si>
    <t>29.6</t>
  </si>
  <si>
    <r>
      <t xml:space="preserve">CARRERAS, Michael </t>
    </r>
    <r>
      <rPr>
        <b/>
        <sz val="11"/>
        <color indexed="10"/>
        <rFont val="Calibri"/>
        <family val="2"/>
      </rPr>
      <t>(X)</t>
    </r>
  </si>
  <si>
    <t>26.3</t>
  </si>
  <si>
    <r>
      <t xml:space="preserve">ROMANO, Nicolás </t>
    </r>
    <r>
      <rPr>
        <b/>
        <sz val="11"/>
        <color indexed="10"/>
        <rFont val="Calibri"/>
        <family val="2"/>
      </rPr>
      <t>(X)</t>
    </r>
  </si>
  <si>
    <t>27.1</t>
  </si>
  <si>
    <r>
      <t xml:space="preserve">EARLY, Cleanthony </t>
    </r>
    <r>
      <rPr>
        <b/>
        <sz val="11"/>
        <color indexed="10"/>
        <rFont val="Calibri"/>
        <family val="2"/>
      </rPr>
      <t>(X)</t>
    </r>
  </si>
  <si>
    <t>VARGAS, Gregory</t>
  </si>
  <si>
    <t>31.5</t>
  </si>
  <si>
    <t>PÉREZ, Anthony</t>
  </si>
  <si>
    <t>25.9</t>
  </si>
  <si>
    <t>MARTÍNEZ, Jesús</t>
  </si>
  <si>
    <t>16.6</t>
  </si>
  <si>
    <t>ROLON, Tyquan</t>
  </si>
  <si>
    <t>23.7</t>
  </si>
  <si>
    <t>MATERÁN, José</t>
  </si>
  <si>
    <t>16.7</t>
  </si>
  <si>
    <t>BOMPART, Humberto</t>
  </si>
  <si>
    <t>19.1</t>
  </si>
  <si>
    <t>ROMERO, Jhon</t>
  </si>
  <si>
    <t>16.8</t>
  </si>
  <si>
    <r>
      <t xml:space="preserve">THOMAS, Elijah </t>
    </r>
    <r>
      <rPr>
        <b/>
        <sz val="11"/>
        <color indexed="10"/>
        <rFont val="Calibri"/>
        <family val="2"/>
      </rPr>
      <t>(X)</t>
    </r>
  </si>
  <si>
    <t>8.0</t>
  </si>
  <si>
    <r>
      <t xml:space="preserve">MÉNDEZ, Jholbert </t>
    </r>
    <r>
      <rPr>
        <b/>
        <sz val="11"/>
        <color indexed="10"/>
        <rFont val="Calibri"/>
        <family val="2"/>
      </rPr>
      <t>(X)</t>
    </r>
  </si>
  <si>
    <t>12.3</t>
  </si>
  <si>
    <t>CENTENO, Jesús</t>
  </si>
  <si>
    <t>9.6</t>
  </si>
  <si>
    <t>RADA, Raymond</t>
  </si>
  <si>
    <t>10.7</t>
  </si>
  <si>
    <r>
      <t xml:space="preserve">VELÁZQUEZ, Luis </t>
    </r>
    <r>
      <rPr>
        <b/>
        <sz val="11"/>
        <color indexed="10"/>
        <rFont val="Calibri"/>
        <family val="2"/>
      </rPr>
      <t>(X)</t>
    </r>
  </si>
  <si>
    <t>7.4</t>
  </si>
  <si>
    <t>TOTAL GLADIADORES</t>
  </si>
  <si>
    <r>
      <rPr>
        <u/>
        <sz val="11"/>
        <color indexed="8"/>
        <rFont val="Calibri"/>
        <family val="2"/>
      </rPr>
      <t>Entrenador/es</t>
    </r>
    <r>
      <rPr>
        <sz val="11"/>
        <color indexed="8"/>
        <rFont val="Calibri"/>
        <family val="2"/>
      </rPr>
      <t xml:space="preserve">: </t>
    </r>
    <r>
      <rPr>
        <b/>
        <sz val="11"/>
        <color indexed="8"/>
        <rFont val="Calibri"/>
        <family val="2"/>
      </rPr>
      <t>Néstor SOLÓRZANO.-</t>
    </r>
  </si>
  <si>
    <r>
      <t>También jugaron</t>
    </r>
    <r>
      <rPr>
        <sz val="11"/>
        <color theme="1"/>
        <rFont val="Calibri"/>
        <family val="2"/>
        <scheme val="minor"/>
      </rPr>
      <t>: Oscar TORRES, Miguel LUNAR, Rúben GONZÁLEZ y Carlos FULDAR.-</t>
    </r>
  </si>
  <si>
    <t>BRONCOS DE CARACAS</t>
  </si>
  <si>
    <t xml:space="preserve">RÉCORD FR 16-10 (61,5%) - POSICIÓN FINAL: 6º </t>
  </si>
  <si>
    <t>GLASS, Tevin</t>
  </si>
  <si>
    <t>34.0</t>
  </si>
  <si>
    <t>SOJO, Garly</t>
  </si>
  <si>
    <t>32.0</t>
  </si>
  <si>
    <t>FAMOUS, Jarrid</t>
  </si>
  <si>
    <t>27.8</t>
  </si>
  <si>
    <t>ABDUL ALEEM, Mussa</t>
  </si>
  <si>
    <t>14.8</t>
  </si>
  <si>
    <r>
      <t>NARCIS, Jabari</t>
    </r>
    <r>
      <rPr>
        <b/>
        <sz val="11"/>
        <color indexed="10"/>
        <rFont val="Calibri"/>
        <family val="2"/>
      </rPr>
      <t xml:space="preserve"> (X)</t>
    </r>
  </si>
  <si>
    <t>24.2</t>
  </si>
  <si>
    <t>ROCA, Raymond</t>
  </si>
  <si>
    <t>DÍAZ, Héctor</t>
  </si>
  <si>
    <t>15.8</t>
  </si>
  <si>
    <t>MENDES, Gabriel</t>
  </si>
  <si>
    <t>17.4</t>
  </si>
  <si>
    <t>ARIAS, Danny</t>
  </si>
  <si>
    <t>11.4</t>
  </si>
  <si>
    <t>PALACIOS, Yochuar</t>
  </si>
  <si>
    <t>16.9</t>
  </si>
  <si>
    <r>
      <t>FINOL, Jaime</t>
    </r>
    <r>
      <rPr>
        <b/>
        <sz val="11"/>
        <color indexed="10"/>
        <rFont val="Calibri"/>
        <family val="2"/>
      </rPr>
      <t xml:space="preserve"> (X)</t>
    </r>
  </si>
  <si>
    <t>BLANCO, Oswar</t>
  </si>
  <si>
    <t>PALACIOS, Leonardo</t>
  </si>
  <si>
    <t>19.5</t>
  </si>
  <si>
    <t>RUDAS, Michael</t>
  </si>
  <si>
    <t>13.6</t>
  </si>
  <si>
    <t>TOTAL BRONCOS</t>
  </si>
  <si>
    <r>
      <rPr>
        <u/>
        <sz val="11"/>
        <color indexed="8"/>
        <rFont val="Calibri"/>
        <family val="2"/>
      </rPr>
      <t>Entrenador/es</t>
    </r>
    <r>
      <rPr>
        <sz val="11"/>
        <color indexed="8"/>
        <rFont val="Calibri"/>
        <family val="2"/>
      </rPr>
      <t xml:space="preserve">: </t>
    </r>
    <r>
      <rPr>
        <b/>
        <sz val="11"/>
        <color indexed="8"/>
        <rFont val="Calibri"/>
        <family val="2"/>
      </rPr>
      <t>Manuel BERROTERAN.-</t>
    </r>
  </si>
  <si>
    <r>
      <t>También jugaron</t>
    </r>
    <r>
      <rPr>
        <sz val="11"/>
        <color theme="1"/>
        <rFont val="Calibri"/>
        <family val="2"/>
        <scheme val="minor"/>
      </rPr>
      <t>: Eliomar GONZÁLEZ, Jordan CAMPOS, Jhonheiler MALAVE y Héctor DÍAZ.-</t>
    </r>
  </si>
  <si>
    <t>BRILLANTES DEL ZULIA</t>
  </si>
  <si>
    <t xml:space="preserve">RÉCORD FR 16-9 (64,0%) - POSICIÓN FINAL: 7º </t>
  </si>
  <si>
    <t>JOHNSON, Kaleb</t>
  </si>
  <si>
    <t>28.4</t>
  </si>
  <si>
    <r>
      <t xml:space="preserve">THOMAS, Charles </t>
    </r>
    <r>
      <rPr>
        <b/>
        <sz val="11"/>
        <color indexed="10"/>
        <rFont val="Calibri"/>
        <family val="2"/>
      </rPr>
      <t>(X)</t>
    </r>
  </si>
  <si>
    <t>PEÑA, Antonio</t>
  </si>
  <si>
    <r>
      <t xml:space="preserve">ALI, Hameed </t>
    </r>
    <r>
      <rPr>
        <b/>
        <sz val="11"/>
        <color indexed="10"/>
        <rFont val="Calibri"/>
        <family val="2"/>
      </rPr>
      <t>(X)</t>
    </r>
  </si>
  <si>
    <t>29.1</t>
  </si>
  <si>
    <r>
      <t>RASIO, Lisandro</t>
    </r>
    <r>
      <rPr>
        <b/>
        <sz val="11"/>
        <color indexed="10"/>
        <rFont val="Calibri"/>
        <family val="2"/>
      </rPr>
      <t xml:space="preserve"> (X)</t>
    </r>
  </si>
  <si>
    <t>FUENMAYOR, Fernando</t>
  </si>
  <si>
    <t>26.9</t>
  </si>
  <si>
    <t>MACHILLANDA, Brander</t>
  </si>
  <si>
    <t>6.3</t>
  </si>
  <si>
    <t>FULLER, Kyle</t>
  </si>
  <si>
    <t>CEDEÑO, Carlos</t>
  </si>
  <si>
    <r>
      <t xml:space="preserve">SILVA, César </t>
    </r>
    <r>
      <rPr>
        <b/>
        <sz val="11"/>
        <color indexed="10"/>
        <rFont val="Calibri"/>
        <family val="2"/>
      </rPr>
      <t>(X)</t>
    </r>
  </si>
  <si>
    <t>ANANGUREN, Deivis</t>
  </si>
  <si>
    <t>13.1</t>
  </si>
  <si>
    <r>
      <t xml:space="preserve">GOLDEN, Ashford </t>
    </r>
    <r>
      <rPr>
        <b/>
        <sz val="11"/>
        <color indexed="10"/>
        <rFont val="Calibri"/>
        <family val="2"/>
      </rPr>
      <t>(X)</t>
    </r>
  </si>
  <si>
    <t>17.7</t>
  </si>
  <si>
    <t>MEDINA, Jesús</t>
  </si>
  <si>
    <t>17.6</t>
  </si>
  <si>
    <t>GUILLEN, Jesuangel</t>
  </si>
  <si>
    <t>WHITE, Decensae</t>
  </si>
  <si>
    <t>17.0</t>
  </si>
  <si>
    <t>MORAN, Néstor</t>
  </si>
  <si>
    <t>11.8</t>
  </si>
  <si>
    <t>YRIARTE, Robert</t>
  </si>
  <si>
    <t>13.4</t>
  </si>
  <si>
    <r>
      <t xml:space="preserve">ACOSTA, Amos </t>
    </r>
    <r>
      <rPr>
        <b/>
        <sz val="11"/>
        <color indexed="10"/>
        <rFont val="Calibri"/>
        <family val="2"/>
      </rPr>
      <t>(X)</t>
    </r>
  </si>
  <si>
    <t>10.1</t>
  </si>
  <si>
    <t>TOTAL BRILLANTES</t>
  </si>
  <si>
    <r>
      <rPr>
        <u/>
        <sz val="11"/>
        <color rgb="FF000000"/>
        <rFont val="Calibri"/>
      </rPr>
      <t>Entrenador/es</t>
    </r>
    <r>
      <rPr>
        <sz val="11"/>
        <color rgb="FF000000"/>
        <rFont val="Calibri"/>
      </rPr>
      <t xml:space="preserve">: </t>
    </r>
    <r>
      <rPr>
        <b/>
        <sz val="11"/>
        <color rgb="FF000000"/>
        <rFont val="Calibri"/>
      </rPr>
      <t xml:space="preserve">José MORALES </t>
    </r>
    <r>
      <rPr>
        <b/>
        <sz val="11"/>
        <color rgb="FFFF0000"/>
        <rFont val="Calibri"/>
      </rPr>
      <t>(X)</t>
    </r>
    <r>
      <rPr>
        <b/>
        <sz val="11"/>
        <color rgb="FF000000"/>
        <rFont val="Calibri"/>
      </rPr>
      <t xml:space="preserve"> /</t>
    </r>
    <r>
      <rPr>
        <sz val="11"/>
        <color rgb="FF000000"/>
        <rFont val="Calibri"/>
      </rPr>
      <t xml:space="preserve"> </t>
    </r>
    <r>
      <rPr>
        <b/>
        <sz val="11"/>
        <color rgb="FF000000"/>
        <rFont val="Calibri"/>
      </rPr>
      <t>Gustavo GARCÍA.-</t>
    </r>
  </si>
  <si>
    <r>
      <t>También jugaron</t>
    </r>
    <r>
      <rPr>
        <sz val="11"/>
        <color theme="1"/>
        <rFont val="Calibri"/>
        <family val="2"/>
        <scheme val="minor"/>
      </rPr>
      <t>: José RODRIGUEZ, Javier TILLERO, Luis PALACIOS y José MEDINA.-</t>
    </r>
  </si>
  <si>
    <t xml:space="preserve">SUPERSÓNICOS DE MIRANDA </t>
  </si>
  <si>
    <t xml:space="preserve">RÉCORD FR 9-9 (50,9%) - POSICIÓN FINAL: 8º </t>
  </si>
  <si>
    <t>EFIANAYI, Tanskley</t>
  </si>
  <si>
    <t>30.8</t>
  </si>
  <si>
    <t>VILDOZA, Leandro</t>
  </si>
  <si>
    <t>33.0</t>
  </si>
  <si>
    <t>RAINES, Cadarian</t>
  </si>
  <si>
    <t>27.7</t>
  </si>
  <si>
    <t>POLANCO, Bernardo</t>
  </si>
  <si>
    <t>22.2</t>
  </si>
  <si>
    <t>COBOS, Tulio</t>
  </si>
  <si>
    <t>29.2</t>
  </si>
  <si>
    <t>BERNAL, Evert</t>
  </si>
  <si>
    <t>19.0</t>
  </si>
  <si>
    <t>GÓMEZ, Wilkerman</t>
  </si>
  <si>
    <t>U21</t>
  </si>
  <si>
    <t>18.6</t>
  </si>
  <si>
    <t>DÍAZ, Jhoyfer</t>
  </si>
  <si>
    <t>16.4</t>
  </si>
  <si>
    <t>GONZÁLEZ, Yeiber</t>
  </si>
  <si>
    <t>13.3</t>
  </si>
  <si>
    <t>GUERRA, Yeferson</t>
  </si>
  <si>
    <t>PERDOMO, Romer</t>
  </si>
  <si>
    <t>ACOSTA, Jhonatan</t>
  </si>
  <si>
    <r>
      <t xml:space="preserve">WILLIAMS, Matt </t>
    </r>
    <r>
      <rPr>
        <b/>
        <sz val="11"/>
        <color indexed="10"/>
        <rFont val="Calibri"/>
        <family val="2"/>
      </rPr>
      <t>(X)</t>
    </r>
  </si>
  <si>
    <t>TOTAL SUPERSÓNICOS</t>
  </si>
  <si>
    <r>
      <rPr>
        <u/>
        <sz val="11"/>
        <color rgb="FF000000"/>
        <rFont val="Calibri"/>
      </rPr>
      <t>Entrenador/es</t>
    </r>
    <r>
      <rPr>
        <sz val="11"/>
        <color rgb="FF000000"/>
        <rFont val="Calibri"/>
      </rPr>
      <t xml:space="preserve">: </t>
    </r>
    <r>
      <rPr>
        <b/>
        <sz val="11"/>
        <color rgb="FF000000"/>
        <rFont val="Calibri"/>
      </rPr>
      <t xml:space="preserve">Lucas ZURITA </t>
    </r>
    <r>
      <rPr>
        <b/>
        <sz val="11"/>
        <color rgb="FFFF0000"/>
        <rFont val="Calibri"/>
      </rPr>
      <t>(X)</t>
    </r>
    <r>
      <rPr>
        <b/>
        <sz val="11"/>
        <color rgb="FF000000"/>
        <rFont val="Calibri"/>
      </rPr>
      <t xml:space="preserve"> / José GALLARDO.-</t>
    </r>
  </si>
  <si>
    <r>
      <t>También jugaron</t>
    </r>
    <r>
      <rPr>
        <sz val="11"/>
        <color theme="1"/>
        <rFont val="Calibri"/>
        <family val="2"/>
        <scheme val="minor"/>
      </rPr>
      <t>: Alfredo RODRIGUEZ, Osmar ÁLVAREZ y Daniel HERNÁNDEZ.-</t>
    </r>
  </si>
  <si>
    <t>GIGANTES DE GUAYANA</t>
  </si>
  <si>
    <t xml:space="preserve">RÉCORD FR 14-8 (63,6%) </t>
  </si>
  <si>
    <t>CAZORLA, Harold</t>
  </si>
  <si>
    <t>DUARTE, Luis</t>
  </si>
  <si>
    <t>GILDER, Tray</t>
  </si>
  <si>
    <t>26.7</t>
  </si>
  <si>
    <t>SHAW, Jarred</t>
  </si>
  <si>
    <t>23.0</t>
  </si>
  <si>
    <t>JOHNSON, Roquez</t>
  </si>
  <si>
    <r>
      <t xml:space="preserve">HICKS, Tony </t>
    </r>
    <r>
      <rPr>
        <b/>
        <sz val="11"/>
        <color indexed="10"/>
        <rFont val="Calibri"/>
        <family val="2"/>
      </rPr>
      <t>(X)</t>
    </r>
  </si>
  <si>
    <t>21.9</t>
  </si>
  <si>
    <t>VALERA, Luis</t>
  </si>
  <si>
    <t>18.5</t>
  </si>
  <si>
    <t>SUCRE, Axiers</t>
  </si>
  <si>
    <t>20.2</t>
  </si>
  <si>
    <t>CARABALLO, Osbel</t>
  </si>
  <si>
    <t>10.5</t>
  </si>
  <si>
    <t>RÍOS, Eduardo</t>
  </si>
  <si>
    <t>BRACHO, José</t>
  </si>
  <si>
    <t>17.9</t>
  </si>
  <si>
    <t>ARIAS, Albert</t>
  </si>
  <si>
    <t>LUCENA, Fernando</t>
  </si>
  <si>
    <t>14.0</t>
  </si>
  <si>
    <t>MIJARES, Edwin</t>
  </si>
  <si>
    <t>16.3</t>
  </si>
  <si>
    <t>JORDAN, Pablo</t>
  </si>
  <si>
    <t>TOTAL GIGANTES</t>
  </si>
  <si>
    <r>
      <rPr>
        <u/>
        <sz val="11"/>
        <color indexed="8"/>
        <rFont val="Calibri"/>
        <family val="2"/>
      </rPr>
      <t>Entrenador/es</t>
    </r>
    <r>
      <rPr>
        <sz val="11"/>
        <color indexed="8"/>
        <rFont val="Calibri"/>
        <family val="2"/>
      </rPr>
      <t xml:space="preserve">: </t>
    </r>
    <r>
      <rPr>
        <b/>
        <sz val="11"/>
        <color indexed="8"/>
        <rFont val="Calibri"/>
        <family val="2"/>
      </rPr>
      <t>Manuel POVEA.-</t>
    </r>
  </si>
  <si>
    <r>
      <t>También jugaron</t>
    </r>
    <r>
      <rPr>
        <sz val="11"/>
        <color theme="1"/>
        <rFont val="Calibri"/>
        <family val="2"/>
        <scheme val="minor"/>
      </rPr>
      <t>: León CRUZ.-</t>
    </r>
  </si>
  <si>
    <t>PIRATAS DE LA GUAIRA</t>
  </si>
  <si>
    <t>RÉCORD FR 12-14 (46,1%)</t>
  </si>
  <si>
    <t>MILOSEVIC, Milan</t>
  </si>
  <si>
    <r>
      <t>MAJOK, Ater</t>
    </r>
    <r>
      <rPr>
        <b/>
        <sz val="11"/>
        <color indexed="10"/>
        <rFont val="Calibri"/>
        <family val="2"/>
      </rPr>
      <t xml:space="preserve"> (X)</t>
    </r>
  </si>
  <si>
    <t>33.5</t>
  </si>
  <si>
    <t>HOLLIS, Damian</t>
  </si>
  <si>
    <t>29.9</t>
  </si>
  <si>
    <t>WARREN, Willy</t>
  </si>
  <si>
    <t>MORILLO, Alexander</t>
  </si>
  <si>
    <t>29.5</t>
  </si>
  <si>
    <r>
      <t xml:space="preserve">FIELDS, Tamyrik </t>
    </r>
    <r>
      <rPr>
        <b/>
        <sz val="11"/>
        <color indexed="10"/>
        <rFont val="Calibri"/>
        <family val="2"/>
      </rPr>
      <t>(X)</t>
    </r>
  </si>
  <si>
    <t>25.0</t>
  </si>
  <si>
    <t>GIMENEZ, Elder</t>
  </si>
  <si>
    <r>
      <t xml:space="preserve">RIVERO, Juan Manuel </t>
    </r>
    <r>
      <rPr>
        <b/>
        <sz val="11"/>
        <color indexed="10"/>
        <rFont val="Calibri"/>
        <family val="2"/>
      </rPr>
      <t>(X)</t>
    </r>
  </si>
  <si>
    <t>25.2</t>
  </si>
  <si>
    <t>MILOSEVIC, Nemanja</t>
  </si>
  <si>
    <t>21.8</t>
  </si>
  <si>
    <t>RAMIREZ, Derwin</t>
  </si>
  <si>
    <t>22.0</t>
  </si>
  <si>
    <t>RAMOS, Jesús</t>
  </si>
  <si>
    <t>HERNANDEZ, Gilberto</t>
  </si>
  <si>
    <t>BERROTERÁN, Gregory</t>
  </si>
  <si>
    <r>
      <t xml:space="preserve">SERRANO, José </t>
    </r>
    <r>
      <rPr>
        <b/>
        <sz val="11"/>
        <color indexed="10"/>
        <rFont val="Calibri"/>
        <family val="2"/>
      </rPr>
      <t>(X)</t>
    </r>
  </si>
  <si>
    <t>ESPINOZA, Adrián</t>
  </si>
  <si>
    <t>5.6</t>
  </si>
  <si>
    <t>MERIDA, Luis</t>
  </si>
  <si>
    <t>6.7</t>
  </si>
  <si>
    <t>TOTAL PIRATAS</t>
  </si>
  <si>
    <r>
      <rPr>
        <u/>
        <sz val="11"/>
        <color indexed="8"/>
        <rFont val="Calibri"/>
        <family val="2"/>
      </rPr>
      <t>Entrenador/es</t>
    </r>
    <r>
      <rPr>
        <sz val="11"/>
        <color indexed="8"/>
        <rFont val="Calibri"/>
        <family val="2"/>
      </rPr>
      <t xml:space="preserve">: </t>
    </r>
    <r>
      <rPr>
        <b/>
        <sz val="11"/>
        <color indexed="8"/>
        <rFont val="Calibri"/>
        <family val="2"/>
      </rPr>
      <t xml:space="preserve">Ariel AMARILLO </t>
    </r>
    <r>
      <rPr>
        <b/>
        <sz val="11"/>
        <color indexed="10"/>
        <rFont val="Calibri"/>
        <family val="2"/>
      </rPr>
      <t>(X)</t>
    </r>
    <r>
      <rPr>
        <b/>
        <sz val="11"/>
        <color indexed="8"/>
        <rFont val="Calibri"/>
        <family val="2"/>
      </rPr>
      <t xml:space="preserve"> / Jesús CORDOBES.-</t>
    </r>
  </si>
  <si>
    <r>
      <t>También jugaron</t>
    </r>
    <r>
      <rPr>
        <sz val="11"/>
        <color theme="1"/>
        <rFont val="Calibri"/>
        <family val="2"/>
        <scheme val="minor"/>
      </rPr>
      <t>: Emiro HERNÁNDEZ, Angel LUGO, Luis MORA, Bieker BARRIOS, Maolín COLINAS, Ludwing IRAZABAL y Jhon CHIRINOS.-</t>
    </r>
  </si>
  <si>
    <t xml:space="preserve">SPARTANS DC </t>
  </si>
  <si>
    <t>RÉCORD FR 8-11 (42,1%)</t>
  </si>
  <si>
    <t>GRATEROL, Windi</t>
  </si>
  <si>
    <t>RUDD, Victor</t>
  </si>
  <si>
    <t>31.7</t>
  </si>
  <si>
    <t>GALLOWAY, Ramon</t>
  </si>
  <si>
    <t>SIFONTES, Yohanner</t>
  </si>
  <si>
    <t>MCCLENTON, Deion</t>
  </si>
  <si>
    <t>0</t>
  </si>
  <si>
    <t>25.5</t>
  </si>
  <si>
    <t>VICK, Lageral</t>
  </si>
  <si>
    <t>PALACIOS, Nélson</t>
  </si>
  <si>
    <t>RODRIGUEZ, José</t>
  </si>
  <si>
    <r>
      <rPr>
        <b/>
        <sz val="11"/>
        <color rgb="FF000000"/>
        <rFont val="Calibri"/>
      </rPr>
      <t xml:space="preserve">LÒPEZ, Lenin </t>
    </r>
    <r>
      <rPr>
        <b/>
        <sz val="11"/>
        <color rgb="FFFF0000"/>
        <rFont val="Calibri"/>
      </rPr>
      <t>(X)</t>
    </r>
  </si>
  <si>
    <t>20.8</t>
  </si>
  <si>
    <r>
      <rPr>
        <b/>
        <sz val="11"/>
        <color rgb="FF000000"/>
        <rFont val="Calibri"/>
      </rPr>
      <t xml:space="preserve">HENRY, Phil </t>
    </r>
    <r>
      <rPr>
        <b/>
        <sz val="11"/>
        <color rgb="FFFF0000"/>
        <rFont val="Calibri"/>
      </rPr>
      <t>(X)</t>
    </r>
  </si>
  <si>
    <t>MONTAÑO, Eliezer</t>
  </si>
  <si>
    <t>BLANCO, Angel</t>
  </si>
  <si>
    <t>ZAMBRANO, Melvin</t>
  </si>
  <si>
    <t>CENTENO, Elián</t>
  </si>
  <si>
    <t>9.0</t>
  </si>
  <si>
    <t>URBINA, Kender</t>
  </si>
  <si>
    <t>6.8</t>
  </si>
  <si>
    <r>
      <rPr>
        <b/>
        <sz val="11"/>
        <color rgb="FF000000"/>
        <rFont val="Calibri"/>
      </rPr>
      <t xml:space="preserve">GARCÍA, Diego </t>
    </r>
    <r>
      <rPr>
        <b/>
        <sz val="11"/>
        <color rgb="FFFF0000"/>
        <rFont val="Calibri"/>
      </rPr>
      <t>(X)</t>
    </r>
  </si>
  <si>
    <t>8.3</t>
  </si>
  <si>
    <t>TOTAL SPARTANS</t>
  </si>
  <si>
    <r>
      <rPr>
        <u/>
        <sz val="11"/>
        <color indexed="8"/>
        <rFont val="Calibri"/>
        <family val="2"/>
      </rPr>
      <t>Entrenador/es</t>
    </r>
    <r>
      <rPr>
        <sz val="11"/>
        <color indexed="8"/>
        <rFont val="Calibri"/>
        <family val="2"/>
      </rPr>
      <t xml:space="preserve">: </t>
    </r>
    <r>
      <rPr>
        <b/>
        <sz val="11"/>
        <color indexed="8"/>
        <rFont val="Calibri"/>
        <family val="2"/>
      </rPr>
      <t xml:space="preserve">Jorge ARRIETA </t>
    </r>
    <r>
      <rPr>
        <b/>
        <sz val="11"/>
        <color indexed="10"/>
        <rFont val="Calibri"/>
        <family val="2"/>
      </rPr>
      <t>(X)</t>
    </r>
    <r>
      <rPr>
        <b/>
        <sz val="11"/>
        <color indexed="8"/>
        <rFont val="Calibri"/>
        <family val="2"/>
      </rPr>
      <t xml:space="preserve"> / Leandro HIRIART.-</t>
    </r>
  </si>
  <si>
    <r>
      <t>También jugaron</t>
    </r>
    <r>
      <rPr>
        <sz val="11"/>
        <color theme="1"/>
        <rFont val="Calibri"/>
        <family val="2"/>
        <scheme val="minor"/>
      </rPr>
      <t>: Richarson ACOSTA.-</t>
    </r>
  </si>
  <si>
    <t>HÉROES DE FALCÓN</t>
  </si>
  <si>
    <t>RÉCORD FR 11-14 (44,0%)</t>
  </si>
  <si>
    <t>DESHIELDS, Keiron</t>
  </si>
  <si>
    <t>34.3</t>
  </si>
  <si>
    <r>
      <t xml:space="preserve">COLEBY, Dwight </t>
    </r>
    <r>
      <rPr>
        <b/>
        <sz val="11"/>
        <color indexed="10"/>
        <rFont val="Calibri"/>
        <family val="2"/>
      </rPr>
      <t>(X)</t>
    </r>
  </si>
  <si>
    <r>
      <t xml:space="preserve">BERRY, Davion </t>
    </r>
    <r>
      <rPr>
        <b/>
        <sz val="11"/>
        <color indexed="10"/>
        <rFont val="Calibri"/>
        <family val="2"/>
      </rPr>
      <t>(X)</t>
    </r>
  </si>
  <si>
    <r>
      <t xml:space="preserve">GILBERT, Marcus </t>
    </r>
    <r>
      <rPr>
        <b/>
        <sz val="11"/>
        <color indexed="10"/>
        <rFont val="Calibri"/>
        <family val="2"/>
      </rPr>
      <t>(X)</t>
    </r>
  </si>
  <si>
    <t>32.7</t>
  </si>
  <si>
    <t>ALMANZA, Luis</t>
  </si>
  <si>
    <t>27.9</t>
  </si>
  <si>
    <t>NIÑO, Kevin</t>
  </si>
  <si>
    <t>CARABALLO, Kelvin</t>
  </si>
  <si>
    <t>19.7</t>
  </si>
  <si>
    <t>BARRIOS, Alejandro</t>
  </si>
  <si>
    <t>DÍAZ, Eduardo</t>
  </si>
  <si>
    <t>11.9</t>
  </si>
  <si>
    <t>INDRIAGO, Argenis</t>
  </si>
  <si>
    <t>HEREDIA, Irwin</t>
  </si>
  <si>
    <t>TOVAR, Jesús</t>
  </si>
  <si>
    <r>
      <t xml:space="preserve">ZAPATA, Jackson </t>
    </r>
    <r>
      <rPr>
        <b/>
        <sz val="11"/>
        <color indexed="10"/>
        <rFont val="Calibri"/>
        <family val="2"/>
      </rPr>
      <t>(X)</t>
    </r>
  </si>
  <si>
    <t>15.9</t>
  </si>
  <si>
    <t>THOMPSON, Max</t>
  </si>
  <si>
    <t>3.7</t>
  </si>
  <si>
    <t>TOTAL HÉROES</t>
  </si>
  <si>
    <r>
      <rPr>
        <u/>
        <sz val="11"/>
        <color indexed="8"/>
        <rFont val="Calibri"/>
        <family val="2"/>
      </rPr>
      <t>Entrenador/es</t>
    </r>
    <r>
      <rPr>
        <sz val="11"/>
        <color indexed="8"/>
        <rFont val="Calibri"/>
        <family val="2"/>
      </rPr>
      <t xml:space="preserve">: </t>
    </r>
    <r>
      <rPr>
        <b/>
        <sz val="11"/>
        <color indexed="8"/>
        <rFont val="Calibri"/>
        <family val="2"/>
      </rPr>
      <t>Juan Manuel NARDINI.-</t>
    </r>
  </si>
  <si>
    <r>
      <t>También jugaron</t>
    </r>
    <r>
      <rPr>
        <sz val="11"/>
        <color theme="1"/>
        <rFont val="Calibri"/>
        <family val="2"/>
        <scheme val="minor"/>
      </rPr>
      <t>: Omar ALASTRE y Angel DEL MORAL.-</t>
    </r>
  </si>
  <si>
    <t>TOROS DE ARAGUA</t>
  </si>
  <si>
    <t>RÉCORD FR 2-20 (9,1%)</t>
  </si>
  <si>
    <t>BLAIR, Staphon</t>
  </si>
  <si>
    <t>20.6</t>
  </si>
  <si>
    <t>TOVAR, Edson</t>
  </si>
  <si>
    <t>MACUARE, Daniel</t>
  </si>
  <si>
    <t>28.6</t>
  </si>
  <si>
    <t>VARGAS, Javier</t>
  </si>
  <si>
    <t>CARABALLO, Juan</t>
  </si>
  <si>
    <t>14.4</t>
  </si>
  <si>
    <t>MEJIAS, Dexler</t>
  </si>
  <si>
    <t>22.4</t>
  </si>
  <si>
    <t>GUIDI, Brian</t>
  </si>
  <si>
    <t>20.9</t>
  </si>
  <si>
    <t>PÉREZ, Rodgel</t>
  </si>
  <si>
    <t>LASTER, Michael</t>
  </si>
  <si>
    <t>3.4</t>
  </si>
  <si>
    <t>VARGAS, José</t>
  </si>
  <si>
    <t>U20</t>
  </si>
  <si>
    <t>NAVARRO, Luis</t>
  </si>
  <si>
    <t>4.9</t>
  </si>
  <si>
    <t>SUÁREZ, Moises</t>
  </si>
  <si>
    <t>CASTILLO, Samuel</t>
  </si>
  <si>
    <t>COULIBALY, Moussa</t>
  </si>
  <si>
    <t>7.1</t>
  </si>
  <si>
    <t>TOTAL TOROS</t>
  </si>
  <si>
    <r>
      <rPr>
        <u/>
        <sz val="11"/>
        <color rgb="FF000000"/>
        <rFont val="Calibri"/>
      </rPr>
      <t>Entrenador/es</t>
    </r>
    <r>
      <rPr>
        <sz val="11"/>
        <color rgb="FF000000"/>
        <rFont val="Calibri"/>
      </rPr>
      <t xml:space="preserve">: </t>
    </r>
    <r>
      <rPr>
        <b/>
        <sz val="11"/>
        <color rgb="FF000000"/>
        <rFont val="Calibri"/>
      </rPr>
      <t>Alfredo MADRID.-</t>
    </r>
  </si>
  <si>
    <r>
      <t>También jugaron</t>
    </r>
    <r>
      <rPr>
        <sz val="11"/>
        <color theme="1"/>
        <rFont val="Calibri"/>
        <family val="2"/>
        <scheme val="minor"/>
      </rPr>
      <t>: José OCHOA, Guillermo SILVA, Luisber MADERO, Greimer VALERO, Gabriel ÁLVAREZ y Rommer MATUTE.-</t>
    </r>
  </si>
  <si>
    <t>GUAROS DE LARA</t>
  </si>
  <si>
    <t>ABREU, Alexander</t>
  </si>
  <si>
    <t>COUTIN, Neysser</t>
  </si>
  <si>
    <t>31.3</t>
  </si>
  <si>
    <t>DÍAZ, Marlon</t>
  </si>
  <si>
    <t>CABRERA, Alan</t>
  </si>
  <si>
    <t>GUILLENT, Heldrin</t>
  </si>
  <si>
    <t>19.4</t>
  </si>
  <si>
    <t>VALERA, Yoelser</t>
  </si>
  <si>
    <t>ALCALÁ, Enderson</t>
  </si>
  <si>
    <t>14.7</t>
  </si>
  <si>
    <t>PÉREZ, Kervin</t>
  </si>
  <si>
    <t>MORENO, Luis</t>
  </si>
  <si>
    <t>10.8</t>
  </si>
  <si>
    <t>MARQUEZ, Omar</t>
  </si>
  <si>
    <t>11.6</t>
  </si>
  <si>
    <t>VILLALBA, Efrain</t>
  </si>
  <si>
    <t>LIANZA, Alfredo</t>
  </si>
  <si>
    <t>TOTAL GUAROS</t>
  </si>
  <si>
    <r>
      <rPr>
        <u/>
        <sz val="11"/>
        <color indexed="8"/>
        <rFont val="Calibri"/>
        <family val="2"/>
      </rPr>
      <t>Entrenador/es</t>
    </r>
    <r>
      <rPr>
        <sz val="11"/>
        <color indexed="8"/>
        <rFont val="Calibri"/>
        <family val="2"/>
      </rPr>
      <t xml:space="preserve">: </t>
    </r>
    <r>
      <rPr>
        <b/>
        <sz val="11"/>
        <color indexed="8"/>
        <rFont val="Calibri"/>
        <family val="2"/>
      </rPr>
      <t>Yonaiker ECKER.-</t>
    </r>
  </si>
  <si>
    <r>
      <t>También jugaron</t>
    </r>
    <r>
      <rPr>
        <sz val="11"/>
        <color theme="1"/>
        <rFont val="Calibri"/>
        <family val="2"/>
        <scheme val="minor"/>
      </rPr>
      <t>: Alexander DE LA PAZ y Brandon NINO.-</t>
    </r>
  </si>
  <si>
    <t>LLANEROS de GUÁRICO</t>
  </si>
  <si>
    <t>RÉCORD FR 11-15 (42,3%)</t>
  </si>
  <si>
    <t>THOMAS, Marcus</t>
  </si>
  <si>
    <t>GRAHAM, Delwan</t>
  </si>
  <si>
    <t>RODRIGUEZ, Carlos</t>
  </si>
  <si>
    <t>23.2</t>
  </si>
  <si>
    <t>MIGNANI, Sebastián</t>
  </si>
  <si>
    <t>29.8</t>
  </si>
  <si>
    <r>
      <t xml:space="preserve">COIMBRA, Andre </t>
    </r>
    <r>
      <rPr>
        <b/>
        <sz val="11"/>
        <color indexed="10"/>
        <rFont val="Calibri"/>
        <family val="2"/>
      </rPr>
      <t>(X)</t>
    </r>
  </si>
  <si>
    <t>ESPINOZA, Aaron</t>
  </si>
  <si>
    <t>19.3</t>
  </si>
  <si>
    <t>AMUNDARAY, Arian</t>
  </si>
  <si>
    <t>23.8</t>
  </si>
  <si>
    <t>CENTENO, Cristian</t>
  </si>
  <si>
    <r>
      <t xml:space="preserve">PIÑERO, Patricio </t>
    </r>
    <r>
      <rPr>
        <b/>
        <sz val="11"/>
        <color indexed="10"/>
        <rFont val="Calibri"/>
        <family val="2"/>
      </rPr>
      <t>(X)</t>
    </r>
  </si>
  <si>
    <t>15.2</t>
  </si>
  <si>
    <t>DÍAZ, Antonio</t>
  </si>
  <si>
    <t>8.7</t>
  </si>
  <si>
    <t>MENDOZA, Johandryt</t>
  </si>
  <si>
    <t>11.3</t>
  </si>
  <si>
    <t>GONZÁLEZ, José</t>
  </si>
  <si>
    <t>11.1</t>
  </si>
  <si>
    <t>MARTINEZ, José</t>
  </si>
  <si>
    <r>
      <t xml:space="preserve">MARQUEZ, José </t>
    </r>
    <r>
      <rPr>
        <b/>
        <sz val="11"/>
        <color indexed="10"/>
        <rFont val="Calibri"/>
        <family val="2"/>
      </rPr>
      <t>(X)</t>
    </r>
  </si>
  <si>
    <t>6.2</t>
  </si>
  <si>
    <t>TOTAL LLANEROS</t>
  </si>
  <si>
    <t>73.4</t>
  </si>
  <si>
    <r>
      <rPr>
        <u/>
        <sz val="11"/>
        <color indexed="8"/>
        <rFont val="Calibri"/>
        <family val="2"/>
      </rPr>
      <t>Entrenador/es</t>
    </r>
    <r>
      <rPr>
        <sz val="11"/>
        <color indexed="8"/>
        <rFont val="Calibri"/>
        <family val="2"/>
      </rPr>
      <t xml:space="preserve">: </t>
    </r>
    <r>
      <rPr>
        <b/>
        <sz val="11"/>
        <color indexed="8"/>
        <rFont val="Calibri"/>
        <family val="2"/>
      </rPr>
      <t>Iván GARCÍA.-</t>
    </r>
  </si>
  <si>
    <r>
      <t>También jugaron</t>
    </r>
    <r>
      <rPr>
        <sz val="11"/>
        <color theme="1"/>
        <rFont val="Calibri"/>
        <family val="2"/>
        <scheme val="minor"/>
      </rPr>
      <t>: Jorge FIGUEROA, José COTT y Vicente GARCÍA.-</t>
    </r>
  </si>
  <si>
    <t>MARINOS DE ANZOÁTEGUI</t>
  </si>
  <si>
    <t>RÉCORD FR 5-19 (20,1%)</t>
  </si>
  <si>
    <r>
      <t xml:space="preserve">STEVE, Taylor </t>
    </r>
    <r>
      <rPr>
        <b/>
        <sz val="11"/>
        <color indexed="10"/>
        <rFont val="Calibri"/>
        <family val="2"/>
      </rPr>
      <t>(X)</t>
    </r>
  </si>
  <si>
    <t>MARTÍNEZ, Jack M.</t>
  </si>
  <si>
    <t>32.5</t>
  </si>
  <si>
    <t>DELPH, Ronald</t>
  </si>
  <si>
    <t>WILLIAMS, George</t>
  </si>
  <si>
    <t>VASILEIADIS, Kostas</t>
  </si>
  <si>
    <r>
      <t xml:space="preserve">UZOH, Ben </t>
    </r>
    <r>
      <rPr>
        <b/>
        <sz val="11"/>
        <color indexed="10"/>
        <rFont val="Calibri"/>
        <family val="2"/>
      </rPr>
      <t>(X)</t>
    </r>
  </si>
  <si>
    <t>23.3</t>
  </si>
  <si>
    <r>
      <t>CEDEÑO, Carlos</t>
    </r>
    <r>
      <rPr>
        <b/>
        <sz val="11"/>
        <color indexed="10"/>
        <rFont val="Calibri"/>
        <family val="2"/>
      </rPr>
      <t xml:space="preserve"> (X)</t>
    </r>
  </si>
  <si>
    <r>
      <t xml:space="preserve">PIRELA, Franger </t>
    </r>
    <r>
      <rPr>
        <b/>
        <sz val="11"/>
        <color indexed="10"/>
        <rFont val="Calibri"/>
        <family val="2"/>
      </rPr>
      <t>(X)</t>
    </r>
  </si>
  <si>
    <t>21.7</t>
  </si>
  <si>
    <t>FERNÁNDEZ, Miguel</t>
  </si>
  <si>
    <r>
      <t xml:space="preserve">HERNÁNDEZ, Ernesto </t>
    </r>
    <r>
      <rPr>
        <b/>
        <sz val="11"/>
        <color indexed="10"/>
        <rFont val="Calibri"/>
        <family val="2"/>
      </rPr>
      <t>(X)</t>
    </r>
  </si>
  <si>
    <t>19.2</t>
  </si>
  <si>
    <t>ACOSTA, Amos</t>
  </si>
  <si>
    <t>DÍAZ, Leunan</t>
  </si>
  <si>
    <t>MACHADO, Reimer</t>
  </si>
  <si>
    <t>8.6</t>
  </si>
  <si>
    <t>LUGO, Luis</t>
  </si>
  <si>
    <t>PIERRE, Jean</t>
  </si>
  <si>
    <r>
      <t xml:space="preserve">RODRIGUEZ, Álvaro </t>
    </r>
    <r>
      <rPr>
        <b/>
        <sz val="11"/>
        <color indexed="10"/>
        <rFont val="Calibri"/>
        <family val="2"/>
      </rPr>
      <t>(X)</t>
    </r>
  </si>
  <si>
    <t>6.0</t>
  </si>
  <si>
    <r>
      <t>ROSS, Richard</t>
    </r>
    <r>
      <rPr>
        <b/>
        <sz val="11"/>
        <color indexed="10"/>
        <rFont val="Calibri"/>
        <family val="2"/>
      </rPr>
      <t xml:space="preserve"> (X)</t>
    </r>
  </si>
  <si>
    <t>21.0</t>
  </si>
  <si>
    <r>
      <t xml:space="preserve">CANAVAL, Manuel </t>
    </r>
    <r>
      <rPr>
        <b/>
        <sz val="11"/>
        <color indexed="10"/>
        <rFont val="Calibri"/>
        <family val="2"/>
      </rPr>
      <t>(X)</t>
    </r>
  </si>
  <si>
    <t>TOTAL MARINOS</t>
  </si>
  <si>
    <r>
      <rPr>
        <u/>
        <sz val="11"/>
        <color indexed="8"/>
        <rFont val="Calibri"/>
        <family val="2"/>
      </rPr>
      <t>Entrenador/es</t>
    </r>
    <r>
      <rPr>
        <sz val="11"/>
        <color indexed="8"/>
        <rFont val="Calibri"/>
        <family val="2"/>
      </rPr>
      <t xml:space="preserve">: </t>
    </r>
    <r>
      <rPr>
        <b/>
        <sz val="11"/>
        <color indexed="8"/>
        <rFont val="Calibri"/>
        <family val="2"/>
      </rPr>
      <t xml:space="preserve">Henry PARUTA </t>
    </r>
    <r>
      <rPr>
        <b/>
        <sz val="11"/>
        <color indexed="10"/>
        <rFont val="Calibri"/>
        <family val="2"/>
      </rPr>
      <t>(X)</t>
    </r>
    <r>
      <rPr>
        <b/>
        <sz val="11"/>
        <color indexed="8"/>
        <rFont val="Calibri"/>
        <family val="2"/>
      </rPr>
      <t xml:space="preserve"> / Hebert BAYONA.-</t>
    </r>
  </si>
  <si>
    <r>
      <t>También jugaron</t>
    </r>
    <r>
      <rPr>
        <sz val="11"/>
        <color theme="1"/>
        <rFont val="Calibri"/>
        <family val="2"/>
        <scheme val="minor"/>
      </rPr>
      <t>: Luis HIDALGO y Leinfer MONTES.-</t>
    </r>
  </si>
  <si>
    <t>GAITEROS DEL ZULIA</t>
  </si>
  <si>
    <r>
      <t>CLARK, Elyjah</t>
    </r>
    <r>
      <rPr>
        <b/>
        <sz val="11"/>
        <color indexed="10"/>
        <rFont val="Calibri"/>
        <family val="2"/>
      </rPr>
      <t xml:space="preserve"> (X)</t>
    </r>
  </si>
  <si>
    <t>32.6</t>
  </si>
  <si>
    <t>WILLIAMS, Morakinyo</t>
  </si>
  <si>
    <t>36.8</t>
  </si>
  <si>
    <r>
      <t xml:space="preserve">BARRO, Serigne </t>
    </r>
    <r>
      <rPr>
        <b/>
        <sz val="11"/>
        <color indexed="10"/>
        <rFont val="Calibri"/>
        <family val="2"/>
      </rPr>
      <t>(X)</t>
    </r>
  </si>
  <si>
    <r>
      <t xml:space="preserve">WINTERING, Alec </t>
    </r>
    <r>
      <rPr>
        <b/>
        <sz val="11"/>
        <color indexed="10"/>
        <rFont val="Calibri"/>
        <family val="2"/>
      </rPr>
      <t>(X)</t>
    </r>
  </si>
  <si>
    <t>34.1</t>
  </si>
  <si>
    <r>
      <t xml:space="preserve">MAITLAND, Malik </t>
    </r>
    <r>
      <rPr>
        <b/>
        <sz val="11"/>
        <color indexed="10"/>
        <rFont val="Calibri"/>
        <family val="2"/>
      </rPr>
      <t>(X)</t>
    </r>
  </si>
  <si>
    <r>
      <t xml:space="preserve">JOHNSON, Brandon </t>
    </r>
    <r>
      <rPr>
        <b/>
        <sz val="11"/>
        <color indexed="10"/>
        <rFont val="Calibri"/>
        <family val="2"/>
      </rPr>
      <t>(X)</t>
    </r>
  </si>
  <si>
    <r>
      <t xml:space="preserve">RONDON, Jorge </t>
    </r>
    <r>
      <rPr>
        <b/>
        <sz val="11"/>
        <color indexed="10"/>
        <rFont val="Calibri"/>
        <family val="2"/>
      </rPr>
      <t>(X)</t>
    </r>
  </si>
  <si>
    <t>PAREJO, Luis</t>
  </si>
  <si>
    <t>26.6</t>
  </si>
  <si>
    <r>
      <t xml:space="preserve">POLLYDORE, Jamal </t>
    </r>
    <r>
      <rPr>
        <b/>
        <sz val="11"/>
        <color indexed="10"/>
        <rFont val="Calibri"/>
        <family val="2"/>
      </rPr>
      <t>(X)</t>
    </r>
  </si>
  <si>
    <r>
      <t xml:space="preserve">BARRO, Mouhamed </t>
    </r>
    <r>
      <rPr>
        <b/>
        <sz val="11"/>
        <color indexed="10"/>
        <rFont val="Calibri"/>
        <family val="2"/>
      </rPr>
      <t>(X)</t>
    </r>
  </si>
  <si>
    <t>37.5</t>
  </si>
  <si>
    <r>
      <t xml:space="preserve">MARTÍNEZ, Alcides </t>
    </r>
    <r>
      <rPr>
        <b/>
        <sz val="11"/>
        <color indexed="10"/>
        <rFont val="Calibri"/>
        <family val="2"/>
      </rPr>
      <t>(X)</t>
    </r>
  </si>
  <si>
    <t>17.5</t>
  </si>
  <si>
    <t>QUINTERO, Yanitson</t>
  </si>
  <si>
    <t>COLINA, Maolín</t>
  </si>
  <si>
    <r>
      <t>MOSQUERA, Yesid</t>
    </r>
    <r>
      <rPr>
        <b/>
        <sz val="11"/>
        <color indexed="10"/>
        <rFont val="Calibri"/>
        <family val="2"/>
      </rPr>
      <t xml:space="preserve"> (X)</t>
    </r>
  </si>
  <si>
    <t>28.8</t>
  </si>
  <si>
    <t>GASCÓN, Carlos</t>
  </si>
  <si>
    <t>21.4</t>
  </si>
  <si>
    <t>MELGAREJO, Rafael</t>
  </si>
  <si>
    <t>ORTEGA, Héctor</t>
  </si>
  <si>
    <t>10.3</t>
  </si>
  <si>
    <t xml:space="preserve">RODRIGUEZ, Erik </t>
  </si>
  <si>
    <t>5.9</t>
  </si>
  <si>
    <r>
      <t xml:space="preserve">MARTINEZ, Diego </t>
    </r>
    <r>
      <rPr>
        <b/>
        <sz val="11"/>
        <color indexed="10"/>
        <rFont val="Calibri"/>
        <family val="2"/>
      </rPr>
      <t>(X)</t>
    </r>
  </si>
  <si>
    <t>10.0</t>
  </si>
  <si>
    <r>
      <t xml:space="preserve">CASTRO, Darío </t>
    </r>
    <r>
      <rPr>
        <b/>
        <sz val="11"/>
        <color indexed="10"/>
        <rFont val="Calibri"/>
        <family val="2"/>
      </rPr>
      <t>(X)</t>
    </r>
  </si>
  <si>
    <t>10.4</t>
  </si>
  <si>
    <t>TOTAL GAITEROS</t>
  </si>
  <si>
    <r>
      <rPr>
        <u/>
        <sz val="11"/>
        <color indexed="8"/>
        <rFont val="Calibri"/>
        <family val="2"/>
      </rPr>
      <t>Entrenador/es</t>
    </r>
    <r>
      <rPr>
        <sz val="11"/>
        <color indexed="8"/>
        <rFont val="Calibri"/>
        <family val="2"/>
      </rPr>
      <t xml:space="preserve">: </t>
    </r>
    <r>
      <rPr>
        <b/>
        <sz val="11"/>
        <color indexed="8"/>
        <rFont val="Calibri"/>
        <family val="2"/>
      </rPr>
      <t xml:space="preserve">Richi GONZÁLEZ </t>
    </r>
    <r>
      <rPr>
        <b/>
        <sz val="11"/>
        <color indexed="10"/>
        <rFont val="Calibri"/>
        <family val="2"/>
      </rPr>
      <t xml:space="preserve">(X) </t>
    </r>
    <r>
      <rPr>
        <b/>
        <sz val="11"/>
        <rFont val="Calibri"/>
        <family val="2"/>
      </rPr>
      <t>/ Ibsen CASTRILLO</t>
    </r>
    <r>
      <rPr>
        <b/>
        <sz val="11"/>
        <color indexed="8"/>
        <rFont val="Calibri"/>
        <family val="2"/>
      </rPr>
      <t>.-</t>
    </r>
  </si>
  <si>
    <r>
      <t>También jugaron</t>
    </r>
    <r>
      <rPr>
        <sz val="11"/>
        <color theme="1"/>
        <rFont val="Calibri"/>
        <family val="2"/>
        <scheme val="minor"/>
      </rPr>
      <t>: Elder GIMENEZ, Christian GUTIERREZ, Karil SUAREZ, Luis MADERA y Grady OSORIO.-</t>
    </r>
  </si>
  <si>
    <t>CANGREJEROS DE MONAGAS</t>
  </si>
  <si>
    <t>RÉCORD FR 4-18 (18,2%)</t>
  </si>
  <si>
    <t>BRACEY, Lisander</t>
  </si>
  <si>
    <t>34.8</t>
  </si>
  <si>
    <r>
      <t xml:space="preserve">WADELL, Nicholas </t>
    </r>
    <r>
      <rPr>
        <b/>
        <sz val="11"/>
        <color indexed="10"/>
        <rFont val="Calibri"/>
        <family val="2"/>
      </rPr>
      <t>(X)</t>
    </r>
  </si>
  <si>
    <r>
      <t xml:space="preserve">FREDERICK, Erik </t>
    </r>
    <r>
      <rPr>
        <b/>
        <sz val="11"/>
        <color indexed="10"/>
        <rFont val="Calibri"/>
        <family val="2"/>
      </rPr>
      <t>(X)</t>
    </r>
  </si>
  <si>
    <r>
      <t xml:space="preserve">STEPHENS, Menas </t>
    </r>
    <r>
      <rPr>
        <b/>
        <sz val="11"/>
        <color indexed="10"/>
        <rFont val="Calibri"/>
        <family val="2"/>
      </rPr>
      <t>(X)</t>
    </r>
  </si>
  <si>
    <t>HERNÁNDEZ, Emiro</t>
  </si>
  <si>
    <t>OJEDA, Neil</t>
  </si>
  <si>
    <t>MARCANO, Teobaldo</t>
  </si>
  <si>
    <t>GARCÍA, Carlos</t>
  </si>
  <si>
    <r>
      <t>CHIRINOS, Jhon</t>
    </r>
    <r>
      <rPr>
        <b/>
        <sz val="11"/>
        <color indexed="10"/>
        <rFont val="Calibri"/>
        <family val="2"/>
      </rPr>
      <t xml:space="preserve"> (X)</t>
    </r>
  </si>
  <si>
    <t>DURAN, Bryan</t>
  </si>
  <si>
    <r>
      <t xml:space="preserve">IRAZABAL, Ludwing </t>
    </r>
    <r>
      <rPr>
        <b/>
        <sz val="11"/>
        <color indexed="10"/>
        <rFont val="Calibri"/>
        <family val="2"/>
      </rPr>
      <t>(X)</t>
    </r>
  </si>
  <si>
    <t>MORLOY, Jorge</t>
  </si>
  <si>
    <t>8.4</t>
  </si>
  <si>
    <t>GÓMEZ, Luis</t>
  </si>
  <si>
    <r>
      <t xml:space="preserve">GASCON, Carlos </t>
    </r>
    <r>
      <rPr>
        <b/>
        <sz val="11"/>
        <color indexed="10"/>
        <rFont val="Calibri"/>
        <family val="2"/>
      </rPr>
      <t>(X)</t>
    </r>
  </si>
  <si>
    <t>MILLAN, Raúl</t>
  </si>
  <si>
    <t>TOTAL CANGREJEROS</t>
  </si>
  <si>
    <r>
      <rPr>
        <u/>
        <sz val="11"/>
        <color indexed="8"/>
        <rFont val="Calibri"/>
        <family val="2"/>
      </rPr>
      <t>Entrenador/es</t>
    </r>
    <r>
      <rPr>
        <sz val="11"/>
        <color indexed="8"/>
        <rFont val="Calibri"/>
        <family val="2"/>
      </rPr>
      <t xml:space="preserve">: </t>
    </r>
    <r>
      <rPr>
        <b/>
        <sz val="11"/>
        <color indexed="8"/>
        <rFont val="Calibri"/>
        <family val="2"/>
      </rPr>
      <t>Daniel CENTENO.-</t>
    </r>
  </si>
  <si>
    <r>
      <t>También jugaron</t>
    </r>
    <r>
      <rPr>
        <sz val="11"/>
        <color theme="1"/>
        <rFont val="Calibri"/>
        <family val="2"/>
        <scheme val="minor"/>
      </rPr>
      <t>: Jesús RAMOS, Kevin LEMUN, Erik RODRIGUEZ, Jorge RODRIGUEZ y Diego MARTÍNEZ, .-</t>
    </r>
  </si>
  <si>
    <t>TAURINOS DE ARAGUA</t>
  </si>
  <si>
    <t xml:space="preserve">RÉCORD FR 3-10 (23,1%) </t>
  </si>
  <si>
    <t>ALEXANDER, Kwame</t>
  </si>
  <si>
    <t>JONES, Kennedy</t>
  </si>
  <si>
    <t>33.1</t>
  </si>
  <si>
    <r>
      <t xml:space="preserve">FRANCIS, Brandone </t>
    </r>
    <r>
      <rPr>
        <b/>
        <sz val="11"/>
        <color indexed="10"/>
        <rFont val="Calibri"/>
        <family val="2"/>
      </rPr>
      <t>(X)</t>
    </r>
  </si>
  <si>
    <t>JOHNSON, Anthony</t>
  </si>
  <si>
    <r>
      <t xml:space="preserve">RAMIREZ, Derwin </t>
    </r>
    <r>
      <rPr>
        <b/>
        <sz val="11"/>
        <color indexed="10"/>
        <rFont val="Calibri"/>
        <family val="2"/>
      </rPr>
      <t>(X)</t>
    </r>
  </si>
  <si>
    <t>ESCOBAR, Martín</t>
  </si>
  <si>
    <t>31.1</t>
  </si>
  <si>
    <t>MEJÍAS, Juan</t>
  </si>
  <si>
    <t>QUIROZ, Steven</t>
  </si>
  <si>
    <t>14.2</t>
  </si>
  <si>
    <t>VALDEZ, Ranses</t>
  </si>
  <si>
    <t>RODRIGUEZ, Jesús</t>
  </si>
  <si>
    <t>11.2</t>
  </si>
  <si>
    <t>GÓMEZ, Jhonder</t>
  </si>
  <si>
    <t>33.3</t>
  </si>
  <si>
    <t>PAYEN, Jean</t>
  </si>
  <si>
    <t>5.0</t>
  </si>
  <si>
    <t>TOTAL TAURINOS</t>
  </si>
  <si>
    <r>
      <rPr>
        <u/>
        <sz val="11"/>
        <color indexed="8"/>
        <rFont val="Calibri"/>
        <family val="2"/>
      </rPr>
      <t>Entrenador/es</t>
    </r>
    <r>
      <rPr>
        <sz val="11"/>
        <color indexed="8"/>
        <rFont val="Calibri"/>
        <family val="2"/>
      </rPr>
      <t xml:space="preserve">: </t>
    </r>
    <r>
      <rPr>
        <b/>
        <sz val="11"/>
        <color indexed="8"/>
        <rFont val="Calibri"/>
        <family val="2"/>
      </rPr>
      <t>Giovanni RIVERA.-</t>
    </r>
  </si>
  <si>
    <r>
      <t>También jugaron</t>
    </r>
    <r>
      <rPr>
        <sz val="11"/>
        <color theme="1"/>
        <rFont val="Calibri"/>
        <family val="2"/>
        <scheme val="minor"/>
      </rPr>
      <t>: Jefferson CORONADO, Gleibert GUZMÁN y Maikel ÁVILA.-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</si>
</sst>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2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u/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10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46"/>
      <name val="Calibri"/>
      <family val="2"/>
      <scheme val="minor"/>
    </font>
    <font>
      <b/>
      <sz val="8"/>
      <color theme="1"/>
      <name val="Arial"/>
      <family val="2"/>
    </font>
    <font>
      <b/>
      <sz val="12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0"/>
      <name val="Bernard MT Condensed"/>
      <family val="1"/>
    </font>
    <font>
      <b/>
      <sz val="13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rgb="FFF90701"/>
      <name val="Calibri"/>
      <family val="2"/>
      <scheme val="minor"/>
    </font>
    <font>
      <b/>
      <sz val="12"/>
      <color rgb="FFF90701"/>
      <name val="Calibri"/>
      <family val="2"/>
      <scheme val="minor"/>
    </font>
    <font>
      <sz val="8"/>
      <color theme="1"/>
      <name val="Arial"/>
      <family val="2"/>
    </font>
    <font>
      <sz val="11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3"/>
      <color rgb="FF000000"/>
      <name val="Calibri"/>
      <family val="2"/>
      <scheme val="minor"/>
    </font>
    <font>
      <b/>
      <sz val="12"/>
      <color rgb="FF000046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  <font>
      <b/>
      <sz val="11"/>
      <color rgb="FFFF0000"/>
      <name val="Calibri"/>
    </font>
    <font>
      <sz val="11"/>
      <color indexed="8"/>
      <name val="Calibri"/>
    </font>
    <font>
      <b/>
      <sz val="11"/>
      <color theme="1"/>
      <name val="Calibri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0046"/>
        <bgColor indexed="64"/>
      </patternFill>
    </fill>
    <fill>
      <patternFill patternType="solid">
        <fgColor rgb="FFB0FF1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CB028"/>
        <bgColor indexed="64"/>
      </patternFill>
    </fill>
    <fill>
      <patternFill patternType="solid">
        <fgColor rgb="FFA10501"/>
        <bgColor indexed="64"/>
      </patternFill>
    </fill>
    <fill>
      <patternFill patternType="solid">
        <fgColor rgb="FFF9070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EA2D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F71403"/>
        <bgColor indexed="64"/>
      </patternFill>
    </fill>
    <fill>
      <patternFill patternType="solid">
        <fgColor rgb="FFF78E25"/>
        <bgColor indexed="64"/>
      </patternFill>
    </fill>
    <fill>
      <patternFill patternType="solid">
        <fgColor rgb="FFDA000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F86818"/>
        <bgColor indexed="64"/>
      </patternFill>
    </fill>
  </fills>
  <borders count="90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double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double">
        <color rgb="FF000000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double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/>
      <top style="thin">
        <color indexed="64"/>
      </top>
      <bottom style="double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double">
        <color rgb="FF000000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double">
        <color rgb="FF000000"/>
      </bottom>
      <diagonal/>
    </border>
    <border>
      <left/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/>
      <top/>
      <bottom style="double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medium">
        <color rgb="FF000000"/>
      </right>
      <top/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double">
        <color rgb="FF000000"/>
      </top>
      <bottom style="medium">
        <color rgb="FF000000"/>
      </bottom>
      <diagonal/>
    </border>
    <border>
      <left/>
      <right style="medium">
        <color rgb="FF000000"/>
      </right>
      <top style="double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7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4" fillId="0" borderId="0" xfId="0" applyFont="1"/>
    <xf numFmtId="0" fontId="0" fillId="4" borderId="3" xfId="0" applyFill="1" applyBorder="1"/>
    <xf numFmtId="0" fontId="0" fillId="4" borderId="4" xfId="0" applyFill="1" applyBorder="1"/>
    <xf numFmtId="164" fontId="8" fillId="8" borderId="3" xfId="0" applyNumberFormat="1" applyFont="1" applyFill="1" applyBorder="1" applyAlignment="1">
      <alignment horizontal="center" vertical="center" wrapText="1"/>
    </xf>
    <xf numFmtId="0" fontId="8" fillId="8" borderId="3" xfId="0" applyFont="1" applyFill="1" applyBorder="1" applyAlignment="1">
      <alignment horizontal="center" vertical="center" wrapText="1"/>
    </xf>
    <xf numFmtId="1" fontId="8" fillId="8" borderId="3" xfId="0" applyNumberFormat="1" applyFont="1" applyFill="1" applyBorder="1" applyAlignment="1">
      <alignment horizontal="center" vertical="center" wrapText="1"/>
    </xf>
    <xf numFmtId="20" fontId="8" fillId="8" borderId="3" xfId="0" applyNumberFormat="1" applyFont="1" applyFill="1" applyBorder="1" applyAlignment="1">
      <alignment horizontal="center" vertical="center" wrapText="1"/>
    </xf>
    <xf numFmtId="0" fontId="8" fillId="8" borderId="3" xfId="0" quotePrefix="1" applyFont="1" applyFill="1" applyBorder="1" applyAlignment="1">
      <alignment horizontal="center" vertical="center" wrapText="1"/>
    </xf>
    <xf numFmtId="0" fontId="8" fillId="23" borderId="3" xfId="0" applyFont="1" applyFill="1" applyBorder="1" applyAlignment="1">
      <alignment horizontal="center" vertical="center" wrapText="1"/>
    </xf>
    <xf numFmtId="164" fontId="8" fillId="23" borderId="3" xfId="0" applyNumberFormat="1" applyFont="1" applyFill="1" applyBorder="1" applyAlignment="1">
      <alignment horizontal="center" vertical="center" wrapText="1"/>
    </xf>
    <xf numFmtId="20" fontId="8" fillId="23" borderId="3" xfId="0" applyNumberFormat="1" applyFont="1" applyFill="1" applyBorder="1" applyAlignment="1">
      <alignment horizontal="center" vertical="center" wrapText="1"/>
    </xf>
    <xf numFmtId="1" fontId="8" fillId="23" borderId="3" xfId="0" applyNumberFormat="1" applyFont="1" applyFill="1" applyBorder="1" applyAlignment="1">
      <alignment horizontal="center" vertical="center" wrapText="1"/>
    </xf>
    <xf numFmtId="0" fontId="8" fillId="23" borderId="3" xfId="0" quotePrefix="1" applyFont="1" applyFill="1" applyBorder="1" applyAlignment="1">
      <alignment horizontal="center" vertical="center" wrapText="1"/>
    </xf>
    <xf numFmtId="0" fontId="8" fillId="8" borderId="6" xfId="0" applyFont="1" applyFill="1" applyBorder="1" applyAlignment="1">
      <alignment horizontal="center" vertical="center" wrapText="1"/>
    </xf>
    <xf numFmtId="164" fontId="8" fillId="8" borderId="6" xfId="0" applyNumberFormat="1" applyFont="1" applyFill="1" applyBorder="1" applyAlignment="1">
      <alignment horizontal="center" vertical="center" wrapText="1"/>
    </xf>
    <xf numFmtId="0" fontId="8" fillId="8" borderId="28" xfId="0" applyFont="1" applyFill="1" applyBorder="1" applyAlignment="1">
      <alignment horizontal="center" vertical="center" wrapText="1"/>
    </xf>
    <xf numFmtId="0" fontId="8" fillId="23" borderId="29" xfId="0" applyFont="1" applyFill="1" applyBorder="1" applyAlignment="1">
      <alignment horizontal="center" vertical="center" wrapText="1"/>
    </xf>
    <xf numFmtId="0" fontId="8" fillId="8" borderId="29" xfId="0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8" fillId="23" borderId="2" xfId="0" applyFont="1" applyFill="1" applyBorder="1" applyAlignment="1">
      <alignment horizontal="center" vertical="center" wrapText="1"/>
    </xf>
    <xf numFmtId="0" fontId="8" fillId="8" borderId="2" xfId="0" applyFont="1" applyFill="1" applyBorder="1" applyAlignment="1">
      <alignment horizontal="center" vertical="center" wrapText="1"/>
    </xf>
    <xf numFmtId="164" fontId="8" fillId="8" borderId="19" xfId="0" applyNumberFormat="1" applyFont="1" applyFill="1" applyBorder="1" applyAlignment="1">
      <alignment horizontal="center" vertical="center" wrapText="1"/>
    </xf>
    <xf numFmtId="164" fontId="8" fillId="23" borderId="21" xfId="0" applyNumberFormat="1" applyFont="1" applyFill="1" applyBorder="1" applyAlignment="1">
      <alignment horizontal="center" vertical="center" wrapText="1"/>
    </xf>
    <xf numFmtId="164" fontId="8" fillId="8" borderId="21" xfId="0" applyNumberFormat="1" applyFont="1" applyFill="1" applyBorder="1" applyAlignment="1">
      <alignment horizontal="center" vertical="center" wrapText="1"/>
    </xf>
    <xf numFmtId="164" fontId="14" fillId="8" borderId="22" xfId="0" applyNumberFormat="1" applyFont="1" applyFill="1" applyBorder="1" applyAlignment="1">
      <alignment horizontal="center" vertical="center" wrapText="1"/>
    </xf>
    <xf numFmtId="164" fontId="8" fillId="8" borderId="5" xfId="0" applyNumberFormat="1" applyFont="1" applyFill="1" applyBorder="1" applyAlignment="1">
      <alignment horizontal="center" vertical="center" wrapText="1"/>
    </xf>
    <xf numFmtId="164" fontId="8" fillId="23" borderId="4" xfId="0" applyNumberFormat="1" applyFont="1" applyFill="1" applyBorder="1" applyAlignment="1">
      <alignment horizontal="center" vertical="center" wrapText="1"/>
    </xf>
    <xf numFmtId="164" fontId="8" fillId="8" borderId="4" xfId="0" applyNumberFormat="1" applyFont="1" applyFill="1" applyBorder="1" applyAlignment="1">
      <alignment horizontal="center" vertical="center" wrapText="1"/>
    </xf>
    <xf numFmtId="1" fontId="8" fillId="23" borderId="21" xfId="0" applyNumberFormat="1" applyFont="1" applyFill="1" applyBorder="1" applyAlignment="1">
      <alignment horizontal="center" vertical="center" wrapText="1"/>
    </xf>
    <xf numFmtId="1" fontId="8" fillId="8" borderId="21" xfId="0" applyNumberFormat="1" applyFont="1" applyFill="1" applyBorder="1" applyAlignment="1">
      <alignment horizontal="center" vertical="center" wrapText="1"/>
    </xf>
    <xf numFmtId="164" fontId="14" fillId="23" borderId="22" xfId="0" applyNumberFormat="1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 wrapText="1"/>
    </xf>
    <xf numFmtId="0" fontId="14" fillId="23" borderId="2" xfId="0" applyFont="1" applyFill="1" applyBorder="1" applyAlignment="1">
      <alignment horizontal="center" vertical="center" wrapText="1"/>
    </xf>
    <xf numFmtId="0" fontId="14" fillId="8" borderId="2" xfId="0" applyFont="1" applyFill="1" applyBorder="1" applyAlignment="1">
      <alignment horizontal="center" vertical="center" wrapText="1"/>
    </xf>
    <xf numFmtId="164" fontId="14" fillId="8" borderId="2" xfId="0" applyNumberFormat="1" applyFont="1" applyFill="1" applyBorder="1" applyAlignment="1">
      <alignment horizontal="center" vertical="center" wrapText="1"/>
    </xf>
    <xf numFmtId="164" fontId="16" fillId="4" borderId="23" xfId="0" applyNumberFormat="1" applyFont="1" applyFill="1" applyBorder="1" applyAlignment="1">
      <alignment horizontal="center" vertical="center" wrapText="1"/>
    </xf>
    <xf numFmtId="164" fontId="16" fillId="4" borderId="24" xfId="0" applyNumberFormat="1" applyFont="1" applyFill="1" applyBorder="1" applyAlignment="1">
      <alignment horizontal="center" vertical="center" wrapText="1"/>
    </xf>
    <xf numFmtId="164" fontId="14" fillId="23" borderId="2" xfId="0" applyNumberFormat="1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8" fillId="23" borderId="4" xfId="0" applyFont="1" applyFill="1" applyBorder="1" applyAlignment="1">
      <alignment horizontal="center" vertical="center" wrapText="1"/>
    </xf>
    <xf numFmtId="0" fontId="8" fillId="8" borderId="4" xfId="0" applyFont="1" applyFill="1" applyBorder="1" applyAlignment="1">
      <alignment horizontal="center" vertical="center" wrapText="1"/>
    </xf>
    <xf numFmtId="164" fontId="8" fillId="8" borderId="29" xfId="0" applyNumberFormat="1" applyFont="1" applyFill="1" applyBorder="1" applyAlignment="1">
      <alignment horizontal="center" vertical="center" wrapText="1"/>
    </xf>
    <xf numFmtId="0" fontId="8" fillId="8" borderId="19" xfId="0" applyFont="1" applyFill="1" applyBorder="1" applyAlignment="1">
      <alignment horizontal="center" vertical="center" wrapText="1"/>
    </xf>
    <xf numFmtId="0" fontId="8" fillId="8" borderId="20" xfId="0" applyFont="1" applyFill="1" applyBorder="1" applyAlignment="1">
      <alignment horizontal="center" vertical="center" wrapText="1"/>
    </xf>
    <xf numFmtId="0" fontId="8" fillId="23" borderId="21" xfId="0" applyFont="1" applyFill="1" applyBorder="1" applyAlignment="1">
      <alignment horizontal="center" vertical="center" wrapText="1"/>
    </xf>
    <xf numFmtId="164" fontId="8" fillId="23" borderId="22" xfId="0" applyNumberFormat="1" applyFont="1" applyFill="1" applyBorder="1" applyAlignment="1">
      <alignment horizontal="center" vertical="center" wrapText="1"/>
    </xf>
    <xf numFmtId="0" fontId="8" fillId="8" borderId="21" xfId="0" applyFont="1" applyFill="1" applyBorder="1" applyAlignment="1">
      <alignment horizontal="center" vertical="center" wrapText="1"/>
    </xf>
    <xf numFmtId="164" fontId="8" fillId="8" borderId="22" xfId="0" applyNumberFormat="1" applyFont="1" applyFill="1" applyBorder="1" applyAlignment="1">
      <alignment horizontal="center" vertical="center" wrapText="1"/>
    </xf>
    <xf numFmtId="0" fontId="8" fillId="23" borderId="22" xfId="0" applyFont="1" applyFill="1" applyBorder="1" applyAlignment="1">
      <alignment horizontal="center" vertical="center" wrapText="1"/>
    </xf>
    <xf numFmtId="0" fontId="8" fillId="8" borderId="22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16" fillId="4" borderId="25" xfId="0" applyFont="1" applyFill="1" applyBorder="1" applyAlignment="1">
      <alignment horizontal="center" vertical="center" wrapText="1"/>
    </xf>
    <xf numFmtId="0" fontId="8" fillId="8" borderId="7" xfId="0" applyFont="1" applyFill="1" applyBorder="1" applyAlignment="1">
      <alignment horizontal="center" vertical="center" wrapText="1"/>
    </xf>
    <xf numFmtId="0" fontId="8" fillId="23" borderId="38" xfId="0" applyFont="1" applyFill="1" applyBorder="1" applyAlignment="1">
      <alignment horizontal="center" vertical="center" wrapText="1"/>
    </xf>
    <xf numFmtId="0" fontId="8" fillId="8" borderId="38" xfId="0" applyFont="1" applyFill="1" applyBorder="1" applyAlignment="1">
      <alignment horizontal="center" vertical="center" wrapText="1"/>
    </xf>
    <xf numFmtId="20" fontId="8" fillId="23" borderId="2" xfId="0" applyNumberFormat="1" applyFont="1" applyFill="1" applyBorder="1" applyAlignment="1">
      <alignment horizontal="center" vertical="center" wrapText="1"/>
    </xf>
    <xf numFmtId="20" fontId="8" fillId="8" borderId="2" xfId="0" applyNumberFormat="1" applyFont="1" applyFill="1" applyBorder="1" applyAlignment="1">
      <alignment horizontal="center" vertical="center" wrapText="1"/>
    </xf>
    <xf numFmtId="46" fontId="8" fillId="8" borderId="28" xfId="0" applyNumberFormat="1" applyFont="1" applyFill="1" applyBorder="1" applyAlignment="1">
      <alignment horizontal="center" vertical="center" wrapText="1"/>
    </xf>
    <xf numFmtId="20" fontId="8" fillId="23" borderId="29" xfId="0" applyNumberFormat="1" applyFont="1" applyFill="1" applyBorder="1" applyAlignment="1">
      <alignment horizontal="center" vertical="center" wrapText="1"/>
    </xf>
    <xf numFmtId="20" fontId="8" fillId="8" borderId="29" xfId="0" applyNumberFormat="1" applyFont="1" applyFill="1" applyBorder="1" applyAlignment="1">
      <alignment horizontal="center" vertical="center" wrapText="1"/>
    </xf>
    <xf numFmtId="46" fontId="8" fillId="8" borderId="29" xfId="0" applyNumberFormat="1" applyFont="1" applyFill="1" applyBorder="1" applyAlignment="1">
      <alignment horizontal="center" vertical="center" wrapText="1"/>
    </xf>
    <xf numFmtId="46" fontId="8" fillId="23" borderId="29" xfId="0" applyNumberFormat="1" applyFont="1" applyFill="1" applyBorder="1" applyAlignment="1">
      <alignment horizontal="center" vertical="center" wrapText="1"/>
    </xf>
    <xf numFmtId="20" fontId="8" fillId="8" borderId="1" xfId="0" applyNumberFormat="1" applyFont="1" applyFill="1" applyBorder="1" applyAlignment="1">
      <alignment horizontal="center" vertical="center" wrapText="1"/>
    </xf>
    <xf numFmtId="0" fontId="8" fillId="23" borderId="31" xfId="0" applyFont="1" applyFill="1" applyBorder="1" applyAlignment="1">
      <alignment horizontal="center" vertical="center" wrapText="1"/>
    </xf>
    <xf numFmtId="0" fontId="8" fillId="23" borderId="27" xfId="0" applyFont="1" applyFill="1" applyBorder="1" applyAlignment="1">
      <alignment horizontal="center" vertical="center" wrapText="1"/>
    </xf>
    <xf numFmtId="164" fontId="8" fillId="23" borderId="17" xfId="0" applyNumberFormat="1" applyFont="1" applyFill="1" applyBorder="1" applyAlignment="1">
      <alignment horizontal="center" vertical="center" wrapText="1"/>
    </xf>
    <xf numFmtId="164" fontId="8" fillId="23" borderId="13" xfId="0" applyNumberFormat="1" applyFont="1" applyFill="1" applyBorder="1" applyAlignment="1">
      <alignment horizontal="center" vertical="center" wrapText="1"/>
    </xf>
    <xf numFmtId="0" fontId="14" fillId="23" borderId="31" xfId="0" applyFont="1" applyFill="1" applyBorder="1" applyAlignment="1">
      <alignment horizontal="center" vertical="center" wrapText="1"/>
    </xf>
    <xf numFmtId="0" fontId="8" fillId="23" borderId="34" xfId="0" applyFont="1" applyFill="1" applyBorder="1" applyAlignment="1">
      <alignment horizontal="center" vertical="center" wrapText="1"/>
    </xf>
    <xf numFmtId="0" fontId="8" fillId="23" borderId="13" xfId="0" applyFont="1" applyFill="1" applyBorder="1" applyAlignment="1">
      <alignment horizontal="center" vertical="center" wrapText="1"/>
    </xf>
    <xf numFmtId="0" fontId="8" fillId="23" borderId="37" xfId="0" applyFont="1" applyFill="1" applyBorder="1" applyAlignment="1">
      <alignment horizontal="center" vertical="center" wrapText="1"/>
    </xf>
    <xf numFmtId="0" fontId="8" fillId="23" borderId="17" xfId="0" applyFont="1" applyFill="1" applyBorder="1" applyAlignment="1">
      <alignment horizontal="center" vertical="center" wrapText="1"/>
    </xf>
    <xf numFmtId="0" fontId="8" fillId="23" borderId="18" xfId="0" applyFont="1" applyFill="1" applyBorder="1" applyAlignment="1">
      <alignment horizontal="center" vertical="center" wrapText="1"/>
    </xf>
    <xf numFmtId="20" fontId="8" fillId="23" borderId="31" xfId="0" applyNumberFormat="1" applyFont="1" applyFill="1" applyBorder="1" applyAlignment="1">
      <alignment horizontal="center" vertical="center" wrapText="1"/>
    </xf>
    <xf numFmtId="20" fontId="8" fillId="23" borderId="27" xfId="0" applyNumberFormat="1" applyFont="1" applyFill="1" applyBorder="1" applyAlignment="1">
      <alignment horizontal="center" vertical="center" wrapText="1"/>
    </xf>
    <xf numFmtId="0" fontId="16" fillId="4" borderId="50" xfId="0" applyFont="1" applyFill="1" applyBorder="1" applyAlignment="1">
      <alignment horizontal="center" vertical="center" wrapText="1"/>
    </xf>
    <xf numFmtId="0" fontId="21" fillId="4" borderId="51" xfId="0" applyFont="1" applyFill="1" applyBorder="1" applyAlignment="1">
      <alignment horizontal="center" vertical="center" wrapText="1"/>
    </xf>
    <xf numFmtId="164" fontId="16" fillId="4" borderId="48" xfId="0" applyNumberFormat="1" applyFont="1" applyFill="1" applyBorder="1" applyAlignment="1">
      <alignment horizontal="center" vertical="center" wrapText="1"/>
    </xf>
    <xf numFmtId="164" fontId="16" fillId="4" borderId="40" xfId="0" applyNumberFormat="1" applyFont="1" applyFill="1" applyBorder="1" applyAlignment="1">
      <alignment horizontal="center" vertical="center" wrapText="1"/>
    </xf>
    <xf numFmtId="0" fontId="11" fillId="4" borderId="49" xfId="0" applyFont="1" applyFill="1" applyBorder="1" applyAlignment="1">
      <alignment horizontal="center" vertical="center" wrapText="1"/>
    </xf>
    <xf numFmtId="0" fontId="11" fillId="4" borderId="41" xfId="0" applyFont="1" applyFill="1" applyBorder="1" applyAlignment="1">
      <alignment horizontal="center" vertical="center" wrapText="1"/>
    </xf>
    <xf numFmtId="0" fontId="16" fillId="4" borderId="39" xfId="0" applyFont="1" applyFill="1" applyBorder="1" applyAlignment="1">
      <alignment horizontal="center" vertical="center" wrapText="1"/>
    </xf>
    <xf numFmtId="0" fontId="16" fillId="4" borderId="40" xfId="0" applyFont="1" applyFill="1" applyBorder="1" applyAlignment="1">
      <alignment horizontal="center" vertical="center" wrapText="1"/>
    </xf>
    <xf numFmtId="164" fontId="11" fillId="4" borderId="49" xfId="0" applyNumberFormat="1" applyFont="1" applyFill="1" applyBorder="1" applyAlignment="1">
      <alignment horizontal="center" vertical="center" wrapText="1"/>
    </xf>
    <xf numFmtId="164" fontId="16" fillId="4" borderId="50" xfId="0" applyNumberFormat="1" applyFont="1" applyFill="1" applyBorder="1" applyAlignment="1">
      <alignment horizontal="center" vertical="center" wrapText="1"/>
    </xf>
    <xf numFmtId="0" fontId="16" fillId="4" borderId="51" xfId="0" applyFont="1" applyFill="1" applyBorder="1" applyAlignment="1">
      <alignment horizontal="center" vertical="center" wrapText="1"/>
    </xf>
    <xf numFmtId="0" fontId="16" fillId="4" borderId="48" xfId="0" applyFont="1" applyFill="1" applyBorder="1" applyAlignment="1">
      <alignment horizontal="center" vertical="center" wrapText="1"/>
    </xf>
    <xf numFmtId="0" fontId="16" fillId="4" borderId="41" xfId="0" applyFont="1" applyFill="1" applyBorder="1" applyAlignment="1">
      <alignment horizontal="center" vertical="center" wrapText="1"/>
    </xf>
    <xf numFmtId="20" fontId="18" fillId="4" borderId="49" xfId="0" applyNumberFormat="1" applyFont="1" applyFill="1" applyBorder="1" applyAlignment="1">
      <alignment vertical="center" wrapText="1"/>
    </xf>
    <xf numFmtId="20" fontId="18" fillId="4" borderId="50" xfId="0" applyNumberFormat="1" applyFont="1" applyFill="1" applyBorder="1" applyAlignment="1">
      <alignment vertical="center" wrapText="1"/>
    </xf>
    <xf numFmtId="0" fontId="8" fillId="8" borderId="19" xfId="0" applyFont="1" applyFill="1" applyBorder="1" applyAlignment="1">
      <alignment horizontal="left" vertical="center" wrapText="1"/>
    </xf>
    <xf numFmtId="0" fontId="8" fillId="8" borderId="21" xfId="0" applyFont="1" applyFill="1" applyBorder="1" applyAlignment="1">
      <alignment horizontal="left" vertical="center" wrapText="1"/>
    </xf>
    <xf numFmtId="164" fontId="14" fillId="8" borderId="1" xfId="0" applyNumberFormat="1" applyFont="1" applyFill="1" applyBorder="1" applyAlignment="1">
      <alignment horizontal="center" vertical="center" wrapText="1"/>
    </xf>
    <xf numFmtId="164" fontId="8" fillId="8" borderId="7" xfId="0" applyNumberFormat="1" applyFont="1" applyFill="1" applyBorder="1" applyAlignment="1">
      <alignment horizontal="center" vertical="center" wrapText="1"/>
    </xf>
    <xf numFmtId="0" fontId="8" fillId="8" borderId="38" xfId="0" quotePrefix="1" applyFont="1" applyFill="1" applyBorder="1" applyAlignment="1">
      <alignment horizontal="center" vertical="center" wrapText="1"/>
    </xf>
    <xf numFmtId="20" fontId="8" fillId="8" borderId="20" xfId="0" applyNumberFormat="1" applyFont="1" applyFill="1" applyBorder="1" applyAlignment="1">
      <alignment horizontal="center" vertical="center" wrapText="1"/>
    </xf>
    <xf numFmtId="20" fontId="8" fillId="23" borderId="22" xfId="0" applyNumberFormat="1" applyFont="1" applyFill="1" applyBorder="1" applyAlignment="1">
      <alignment horizontal="center" vertical="center" wrapText="1"/>
    </xf>
    <xf numFmtId="20" fontId="8" fillId="8" borderId="22" xfId="0" applyNumberFormat="1" applyFont="1" applyFill="1" applyBorder="1" applyAlignment="1">
      <alignment horizontal="center" vertical="center" wrapText="1"/>
    </xf>
    <xf numFmtId="164" fontId="8" fillId="8" borderId="1" xfId="0" applyNumberFormat="1" applyFont="1" applyFill="1" applyBorder="1" applyAlignment="1">
      <alignment horizontal="center" vertical="center" wrapText="1"/>
    </xf>
    <xf numFmtId="164" fontId="8" fillId="23" borderId="2" xfId="0" applyNumberFormat="1" applyFont="1" applyFill="1" applyBorder="1" applyAlignment="1">
      <alignment horizontal="center" vertical="center" wrapText="1"/>
    </xf>
    <xf numFmtId="164" fontId="8" fillId="8" borderId="2" xfId="0" applyNumberFormat="1" applyFont="1" applyFill="1" applyBorder="1" applyAlignment="1">
      <alignment horizontal="center" vertical="center" wrapText="1"/>
    </xf>
    <xf numFmtId="20" fontId="8" fillId="8" borderId="7" xfId="0" applyNumberFormat="1" applyFont="1" applyFill="1" applyBorder="1" applyAlignment="1">
      <alignment horizontal="center" vertical="center" wrapText="1"/>
    </xf>
    <xf numFmtId="46" fontId="8" fillId="23" borderId="38" xfId="0" applyNumberFormat="1" applyFont="1" applyFill="1" applyBorder="1" applyAlignment="1">
      <alignment horizontal="center" vertical="center" wrapText="1"/>
    </xf>
    <xf numFmtId="46" fontId="8" fillId="8" borderId="38" xfId="0" applyNumberFormat="1" applyFont="1" applyFill="1" applyBorder="1" applyAlignment="1">
      <alignment horizontal="center" vertical="center" wrapText="1"/>
    </xf>
    <xf numFmtId="20" fontId="8" fillId="23" borderId="38" xfId="0" applyNumberFormat="1" applyFont="1" applyFill="1" applyBorder="1" applyAlignment="1">
      <alignment horizontal="center" vertical="center" wrapText="1"/>
    </xf>
    <xf numFmtId="20" fontId="8" fillId="8" borderId="38" xfId="0" applyNumberFormat="1" applyFont="1" applyFill="1" applyBorder="1" applyAlignment="1">
      <alignment horizontal="center" vertical="center" wrapText="1"/>
    </xf>
    <xf numFmtId="0" fontId="8" fillId="8" borderId="17" xfId="0" applyFont="1" applyFill="1" applyBorder="1" applyAlignment="1">
      <alignment horizontal="left" vertical="center" wrapText="1"/>
    </xf>
    <xf numFmtId="0" fontId="8" fillId="8" borderId="31" xfId="0" applyFont="1" applyFill="1" applyBorder="1" applyAlignment="1">
      <alignment horizontal="center" vertical="center" wrapText="1"/>
    </xf>
    <xf numFmtId="0" fontId="8" fillId="8" borderId="27" xfId="0" applyFont="1" applyFill="1" applyBorder="1" applyAlignment="1">
      <alignment horizontal="center" vertical="center" wrapText="1"/>
    </xf>
    <xf numFmtId="164" fontId="8" fillId="8" borderId="17" xfId="0" applyNumberFormat="1" applyFont="1" applyFill="1" applyBorder="1" applyAlignment="1">
      <alignment horizontal="center" vertical="center" wrapText="1"/>
    </xf>
    <xf numFmtId="164" fontId="8" fillId="8" borderId="13" xfId="0" applyNumberFormat="1" applyFont="1" applyFill="1" applyBorder="1" applyAlignment="1">
      <alignment horizontal="center" vertical="center" wrapText="1"/>
    </xf>
    <xf numFmtId="0" fontId="14" fillId="8" borderId="31" xfId="0" applyFont="1" applyFill="1" applyBorder="1" applyAlignment="1">
      <alignment horizontal="center" vertical="center" wrapText="1"/>
    </xf>
    <xf numFmtId="0" fontId="8" fillId="8" borderId="34" xfId="0" applyFont="1" applyFill="1" applyBorder="1" applyAlignment="1">
      <alignment horizontal="center" vertical="center" wrapText="1"/>
    </xf>
    <xf numFmtId="0" fontId="8" fillId="8" borderId="13" xfId="0" applyFont="1" applyFill="1" applyBorder="1" applyAlignment="1">
      <alignment horizontal="center" vertical="center" wrapText="1"/>
    </xf>
    <xf numFmtId="0" fontId="8" fillId="8" borderId="37" xfId="0" applyFont="1" applyFill="1" applyBorder="1" applyAlignment="1">
      <alignment horizontal="center" vertical="center" wrapText="1"/>
    </xf>
    <xf numFmtId="0" fontId="8" fillId="8" borderId="17" xfId="0" applyFont="1" applyFill="1" applyBorder="1" applyAlignment="1">
      <alignment horizontal="center" vertical="center" wrapText="1"/>
    </xf>
    <xf numFmtId="164" fontId="8" fillId="8" borderId="31" xfId="0" applyNumberFormat="1" applyFont="1" applyFill="1" applyBorder="1" applyAlignment="1">
      <alignment horizontal="center" vertical="center" wrapText="1"/>
    </xf>
    <xf numFmtId="20" fontId="8" fillId="8" borderId="18" xfId="0" applyNumberFormat="1" applyFont="1" applyFill="1" applyBorder="1" applyAlignment="1">
      <alignment horizontal="center" vertical="center" wrapText="1"/>
    </xf>
    <xf numFmtId="20" fontId="8" fillId="8" borderId="37" xfId="0" applyNumberFormat="1" applyFont="1" applyFill="1" applyBorder="1" applyAlignment="1">
      <alignment horizontal="center" vertical="center" wrapText="1"/>
    </xf>
    <xf numFmtId="0" fontId="16" fillId="4" borderId="49" xfId="0" applyFont="1" applyFill="1" applyBorder="1" applyAlignment="1">
      <alignment horizontal="center" vertical="center" wrapText="1"/>
    </xf>
    <xf numFmtId="0" fontId="16" fillId="4" borderId="54" xfId="0" applyFont="1" applyFill="1" applyBorder="1" applyAlignment="1">
      <alignment horizontal="center" vertical="center" wrapText="1"/>
    </xf>
    <xf numFmtId="20" fontId="18" fillId="4" borderId="52" xfId="0" applyNumberFormat="1" applyFont="1" applyFill="1" applyBorder="1" applyAlignment="1">
      <alignment vertical="center" wrapText="1"/>
    </xf>
    <xf numFmtId="20" fontId="18" fillId="4" borderId="51" xfId="0" applyNumberFormat="1" applyFont="1" applyFill="1" applyBorder="1" applyAlignment="1">
      <alignment vertical="center" wrapText="1"/>
    </xf>
    <xf numFmtId="0" fontId="21" fillId="4" borderId="50" xfId="0" applyFont="1" applyFill="1" applyBorder="1" applyAlignment="1">
      <alignment horizontal="center" vertical="center"/>
    </xf>
    <xf numFmtId="0" fontId="8" fillId="23" borderId="21" xfId="0" applyFont="1" applyFill="1" applyBorder="1" applyAlignment="1">
      <alignment horizontal="left" vertical="center" wrapText="1"/>
    </xf>
    <xf numFmtId="0" fontId="8" fillId="23" borderId="17" xfId="0" applyFont="1" applyFill="1" applyBorder="1" applyAlignment="1">
      <alignment horizontal="left" vertical="center" wrapText="1"/>
    </xf>
    <xf numFmtId="0" fontId="26" fillId="8" borderId="29" xfId="0" applyFont="1" applyFill="1" applyBorder="1" applyAlignment="1">
      <alignment horizontal="center" vertical="center" wrapText="1"/>
    </xf>
    <xf numFmtId="0" fontId="26" fillId="23" borderId="29" xfId="0" applyFont="1" applyFill="1" applyBorder="1" applyAlignment="1">
      <alignment horizontal="center" vertical="center" wrapText="1"/>
    </xf>
    <xf numFmtId="0" fontId="26" fillId="8" borderId="28" xfId="0" applyFont="1" applyFill="1" applyBorder="1" applyAlignment="1">
      <alignment horizontal="center" vertical="center" wrapText="1"/>
    </xf>
    <xf numFmtId="0" fontId="15" fillId="6" borderId="18" xfId="0" applyFont="1" applyFill="1" applyBorder="1" applyAlignment="1">
      <alignment horizontal="center" vertical="center" wrapText="1"/>
    </xf>
    <xf numFmtId="0" fontId="15" fillId="6" borderId="17" xfId="0" applyFont="1" applyFill="1" applyBorder="1" applyAlignment="1">
      <alignment horizontal="center" vertical="center" wrapText="1"/>
    </xf>
    <xf numFmtId="0" fontId="15" fillId="6" borderId="13" xfId="0" applyFont="1" applyFill="1" applyBorder="1" applyAlignment="1">
      <alignment horizontal="center" vertical="center" wrapText="1"/>
    </xf>
    <xf numFmtId="0" fontId="15" fillId="6" borderId="34" xfId="0" applyFont="1" applyFill="1" applyBorder="1" applyAlignment="1">
      <alignment horizontal="center" vertical="center" wrapText="1"/>
    </xf>
    <xf numFmtId="0" fontId="15" fillId="6" borderId="31" xfId="0" applyFont="1" applyFill="1" applyBorder="1" applyAlignment="1">
      <alignment horizontal="center" vertical="center" wrapText="1"/>
    </xf>
    <xf numFmtId="164" fontId="16" fillId="4" borderId="35" xfId="0" applyNumberFormat="1" applyFont="1" applyFill="1" applyBorder="1" applyAlignment="1">
      <alignment horizontal="center" vertical="center" wrapText="1"/>
    </xf>
    <xf numFmtId="0" fontId="11" fillId="4" borderId="32" xfId="0" applyFont="1" applyFill="1" applyBorder="1" applyAlignment="1">
      <alignment horizontal="center" vertical="center" wrapText="1"/>
    </xf>
    <xf numFmtId="0" fontId="16" fillId="4" borderId="24" xfId="0" applyFont="1" applyFill="1" applyBorder="1" applyAlignment="1">
      <alignment horizontal="center" vertical="center" wrapText="1"/>
    </xf>
    <xf numFmtId="0" fontId="15" fillId="6" borderId="58" xfId="0" applyFont="1" applyFill="1" applyBorder="1" applyAlignment="1">
      <alignment horizontal="center" vertical="center" wrapText="1"/>
    </xf>
    <xf numFmtId="0" fontId="15" fillId="6" borderId="59" xfId="0" applyFont="1" applyFill="1" applyBorder="1" applyAlignment="1">
      <alignment horizontal="center" vertical="center" wrapText="1"/>
    </xf>
    <xf numFmtId="0" fontId="15" fillId="6" borderId="60" xfId="0" applyFont="1" applyFill="1" applyBorder="1" applyAlignment="1">
      <alignment horizontal="center" vertical="center" wrapText="1"/>
    </xf>
    <xf numFmtId="1" fontId="14" fillId="23" borderId="22" xfId="0" applyNumberFormat="1" applyFont="1" applyFill="1" applyBorder="1" applyAlignment="1">
      <alignment horizontal="center" vertical="center" wrapText="1"/>
    </xf>
    <xf numFmtId="1" fontId="14" fillId="8" borderId="22" xfId="0" applyNumberFormat="1" applyFont="1" applyFill="1" applyBorder="1" applyAlignment="1">
      <alignment horizontal="center" vertical="center" wrapText="1"/>
    </xf>
    <xf numFmtId="0" fontId="15" fillId="6" borderId="64" xfId="0" applyFont="1" applyFill="1" applyBorder="1" applyAlignment="1">
      <alignment horizontal="center" vertical="center" wrapText="1"/>
    </xf>
    <xf numFmtId="0" fontId="15" fillId="6" borderId="65" xfId="0" applyFont="1" applyFill="1" applyBorder="1" applyAlignment="1">
      <alignment horizontal="center" vertical="center" wrapText="1"/>
    </xf>
    <xf numFmtId="164" fontId="8" fillId="23" borderId="29" xfId="0" applyNumberFormat="1" applyFont="1" applyFill="1" applyBorder="1" applyAlignment="1">
      <alignment horizontal="center" vertical="center" wrapText="1"/>
    </xf>
    <xf numFmtId="164" fontId="11" fillId="4" borderId="25" xfId="0" applyNumberFormat="1" applyFont="1" applyFill="1" applyBorder="1" applyAlignment="1">
      <alignment horizontal="center" vertical="center" wrapText="1"/>
    </xf>
    <xf numFmtId="0" fontId="27" fillId="8" borderId="7" xfId="0" applyFont="1" applyFill="1" applyBorder="1" applyAlignment="1">
      <alignment horizontal="center" vertical="center" wrapText="1"/>
    </xf>
    <xf numFmtId="0" fontId="27" fillId="23" borderId="38" xfId="0" applyFont="1" applyFill="1" applyBorder="1" applyAlignment="1">
      <alignment horizontal="center" vertical="center" wrapText="1"/>
    </xf>
    <xf numFmtId="164" fontId="27" fillId="8" borderId="38" xfId="0" applyNumberFormat="1" applyFont="1" applyFill="1" applyBorder="1" applyAlignment="1">
      <alignment horizontal="center" vertical="center" wrapText="1"/>
    </xf>
    <xf numFmtId="0" fontId="27" fillId="8" borderId="38" xfId="0" applyFont="1" applyFill="1" applyBorder="1" applyAlignment="1">
      <alignment horizontal="center" vertical="center" wrapText="1"/>
    </xf>
    <xf numFmtId="164" fontId="27" fillId="23" borderId="38" xfId="0" applyNumberFormat="1" applyFont="1" applyFill="1" applyBorder="1" applyAlignment="1">
      <alignment horizontal="center" vertical="center" wrapText="1"/>
    </xf>
    <xf numFmtId="0" fontId="27" fillId="23" borderId="37" xfId="0" applyFont="1" applyFill="1" applyBorder="1" applyAlignment="1">
      <alignment horizontal="center" vertical="center" wrapText="1"/>
    </xf>
    <xf numFmtId="0" fontId="11" fillId="4" borderId="51" xfId="0" applyFont="1" applyFill="1" applyBorder="1" applyAlignment="1">
      <alignment horizontal="center" vertical="center" wrapText="1"/>
    </xf>
    <xf numFmtId="0" fontId="27" fillId="8" borderId="44" xfId="0" applyFont="1" applyFill="1" applyBorder="1" applyAlignment="1">
      <alignment horizontal="center" vertical="center" wrapText="1"/>
    </xf>
    <xf numFmtId="0" fontId="27" fillId="23" borderId="45" xfId="0" applyFont="1" applyFill="1" applyBorder="1" applyAlignment="1">
      <alignment horizontal="center" vertical="center" wrapText="1"/>
    </xf>
    <xf numFmtId="164" fontId="27" fillId="8" borderId="45" xfId="0" applyNumberFormat="1" applyFont="1" applyFill="1" applyBorder="1" applyAlignment="1">
      <alignment horizontal="center" vertical="center" wrapText="1"/>
    </xf>
    <xf numFmtId="0" fontId="27" fillId="8" borderId="45" xfId="0" applyFont="1" applyFill="1" applyBorder="1" applyAlignment="1">
      <alignment horizontal="center" vertical="center" wrapText="1"/>
    </xf>
    <xf numFmtId="0" fontId="27" fillId="23" borderId="43" xfId="0" applyFont="1" applyFill="1" applyBorder="1" applyAlignment="1">
      <alignment horizontal="center" vertical="center" wrapText="1"/>
    </xf>
    <xf numFmtId="0" fontId="11" fillId="4" borderId="52" xfId="0" applyFont="1" applyFill="1" applyBorder="1" applyAlignment="1">
      <alignment horizontal="center" vertical="center"/>
    </xf>
    <xf numFmtId="0" fontId="29" fillId="0" borderId="50" xfId="0" applyFont="1" applyBorder="1" applyAlignment="1">
      <alignment horizontal="center" vertical="center" wrapText="1"/>
    </xf>
    <xf numFmtId="0" fontId="29" fillId="0" borderId="51" xfId="0" applyFont="1" applyBorder="1" applyAlignment="1">
      <alignment horizontal="center" vertical="center" wrapText="1"/>
    </xf>
    <xf numFmtId="0" fontId="30" fillId="8" borderId="1" xfId="0" applyFont="1" applyFill="1" applyBorder="1" applyAlignment="1">
      <alignment horizontal="center" vertical="center" wrapText="1"/>
    </xf>
    <xf numFmtId="0" fontId="30" fillId="23" borderId="2" xfId="0" applyFont="1" applyFill="1" applyBorder="1" applyAlignment="1">
      <alignment horizontal="center" vertical="center" wrapText="1"/>
    </xf>
    <xf numFmtId="0" fontId="30" fillId="8" borderId="2" xfId="0" applyFont="1" applyFill="1" applyBorder="1" applyAlignment="1">
      <alignment horizontal="center" vertical="center" wrapText="1"/>
    </xf>
    <xf numFmtId="164" fontId="30" fillId="8" borderId="2" xfId="0" applyNumberFormat="1" applyFont="1" applyFill="1" applyBorder="1" applyAlignment="1">
      <alignment horizontal="center" vertical="center" wrapText="1"/>
    </xf>
    <xf numFmtId="0" fontId="30" fillId="23" borderId="31" xfId="0" applyFont="1" applyFill="1" applyBorder="1" applyAlignment="1">
      <alignment horizontal="center" vertical="center" wrapText="1"/>
    </xf>
    <xf numFmtId="0" fontId="31" fillId="4" borderId="49" xfId="0" applyFont="1" applyFill="1" applyBorder="1" applyAlignment="1">
      <alignment horizontal="center" vertical="center" wrapText="1"/>
    </xf>
    <xf numFmtId="0" fontId="31" fillId="0" borderId="49" xfId="0" applyFont="1" applyBorder="1" applyAlignment="1">
      <alignment horizontal="center" vertical="center" wrapText="1"/>
    </xf>
    <xf numFmtId="164" fontId="30" fillId="23" borderId="31" xfId="0" applyNumberFormat="1" applyFont="1" applyFill="1" applyBorder="1" applyAlignment="1">
      <alignment horizontal="center" vertical="center" wrapText="1"/>
    </xf>
    <xf numFmtId="164" fontId="31" fillId="0" borderId="41" xfId="0" applyNumberFormat="1" applyFont="1" applyBorder="1" applyAlignment="1">
      <alignment horizontal="center" vertical="center" wrapText="1"/>
    </xf>
    <xf numFmtId="0" fontId="30" fillId="8" borderId="20" xfId="0" applyFont="1" applyFill="1" applyBorder="1" applyAlignment="1">
      <alignment horizontal="center" vertical="center" wrapText="1"/>
    </xf>
    <xf numFmtId="164" fontId="30" fillId="23" borderId="22" xfId="0" applyNumberFormat="1" applyFont="1" applyFill="1" applyBorder="1" applyAlignment="1">
      <alignment horizontal="center" vertical="center" wrapText="1"/>
    </xf>
    <xf numFmtId="0" fontId="30" fillId="8" borderId="22" xfId="0" applyFont="1" applyFill="1" applyBorder="1" applyAlignment="1">
      <alignment horizontal="center" vertical="center" wrapText="1"/>
    </xf>
    <xf numFmtId="0" fontId="30" fillId="23" borderId="22" xfId="0" applyFont="1" applyFill="1" applyBorder="1" applyAlignment="1">
      <alignment horizontal="center" vertical="center" wrapText="1"/>
    </xf>
    <xf numFmtId="164" fontId="30" fillId="8" borderId="22" xfId="0" applyNumberFormat="1" applyFont="1" applyFill="1" applyBorder="1" applyAlignment="1">
      <alignment horizontal="center" vertical="center" wrapText="1"/>
    </xf>
    <xf numFmtId="164" fontId="30" fillId="23" borderId="18" xfId="0" applyNumberFormat="1" applyFont="1" applyFill="1" applyBorder="1" applyAlignment="1">
      <alignment horizontal="center" vertical="center" wrapText="1"/>
    </xf>
    <xf numFmtId="0" fontId="31" fillId="4" borderId="41" xfId="0" applyFont="1" applyFill="1" applyBorder="1" applyAlignment="1">
      <alignment horizontal="center" vertical="center" wrapText="1"/>
    </xf>
    <xf numFmtId="0" fontId="29" fillId="0" borderId="40" xfId="0" applyFont="1" applyBorder="1" applyAlignment="1">
      <alignment horizontal="center" vertical="center" wrapText="1"/>
    </xf>
    <xf numFmtId="164" fontId="29" fillId="0" borderId="40" xfId="0" applyNumberFormat="1" applyFont="1" applyBorder="1" applyAlignment="1">
      <alignment horizontal="center" vertical="center" wrapText="1"/>
    </xf>
    <xf numFmtId="0" fontId="27" fillId="8" borderId="37" xfId="0" applyFont="1" applyFill="1" applyBorder="1" applyAlignment="1">
      <alignment horizontal="center" vertical="center" wrapText="1"/>
    </xf>
    <xf numFmtId="0" fontId="27" fillId="8" borderId="28" xfId="0" applyFont="1" applyFill="1" applyBorder="1" applyAlignment="1">
      <alignment horizontal="center" vertical="center" wrapText="1"/>
    </xf>
    <xf numFmtId="0" fontId="27" fillId="23" borderId="29" xfId="0" applyFont="1" applyFill="1" applyBorder="1" applyAlignment="1">
      <alignment horizontal="center" vertical="center" wrapText="1"/>
    </xf>
    <xf numFmtId="0" fontId="27" fillId="8" borderId="29" xfId="0" applyFont="1" applyFill="1" applyBorder="1" applyAlignment="1">
      <alignment horizontal="center" vertical="center" wrapText="1"/>
    </xf>
    <xf numFmtId="164" fontId="27" fillId="8" borderId="29" xfId="0" applyNumberFormat="1" applyFont="1" applyFill="1" applyBorder="1" applyAlignment="1">
      <alignment horizontal="center" vertical="center" wrapText="1"/>
    </xf>
    <xf numFmtId="164" fontId="27" fillId="23" borderId="29" xfId="0" applyNumberFormat="1" applyFont="1" applyFill="1" applyBorder="1" applyAlignment="1">
      <alignment horizontal="center" vertical="center" wrapText="1"/>
    </xf>
    <xf numFmtId="0" fontId="27" fillId="8" borderId="27" xfId="0" applyFont="1" applyFill="1" applyBorder="1" applyAlignment="1">
      <alignment horizontal="center" vertical="center" wrapText="1"/>
    </xf>
    <xf numFmtId="0" fontId="32" fillId="8" borderId="1" xfId="0" applyFont="1" applyFill="1" applyBorder="1" applyAlignment="1">
      <alignment horizontal="center" vertical="center" wrapText="1"/>
    </xf>
    <xf numFmtId="0" fontId="32" fillId="23" borderId="2" xfId="0" applyFont="1" applyFill="1" applyBorder="1" applyAlignment="1">
      <alignment horizontal="center" vertical="center" wrapText="1"/>
    </xf>
    <xf numFmtId="0" fontId="32" fillId="8" borderId="2" xfId="0" applyFont="1" applyFill="1" applyBorder="1" applyAlignment="1">
      <alignment horizontal="center" vertical="center" wrapText="1"/>
    </xf>
    <xf numFmtId="164" fontId="32" fillId="23" borderId="2" xfId="0" applyNumberFormat="1" applyFont="1" applyFill="1" applyBorder="1" applyAlignment="1">
      <alignment horizontal="center" vertical="center" wrapText="1"/>
    </xf>
    <xf numFmtId="164" fontId="32" fillId="8" borderId="2" xfId="0" applyNumberFormat="1" applyFont="1" applyFill="1" applyBorder="1" applyAlignment="1">
      <alignment horizontal="center" vertical="center" wrapText="1"/>
    </xf>
    <xf numFmtId="0" fontId="32" fillId="8" borderId="31" xfId="0" applyFont="1" applyFill="1" applyBorder="1" applyAlignment="1">
      <alignment horizontal="center" vertical="center" wrapText="1"/>
    </xf>
    <xf numFmtId="164" fontId="32" fillId="8" borderId="1" xfId="0" applyNumberFormat="1" applyFont="1" applyFill="1" applyBorder="1" applyAlignment="1">
      <alignment horizontal="center" vertical="center" wrapText="1"/>
    </xf>
    <xf numFmtId="0" fontId="32" fillId="8" borderId="20" xfId="0" applyFont="1" applyFill="1" applyBorder="1" applyAlignment="1">
      <alignment horizontal="center" vertical="center" wrapText="1"/>
    </xf>
    <xf numFmtId="0" fontId="32" fillId="23" borderId="22" xfId="0" applyFont="1" applyFill="1" applyBorder="1" applyAlignment="1">
      <alignment horizontal="center" vertical="center" wrapText="1"/>
    </xf>
    <xf numFmtId="0" fontId="32" fillId="8" borderId="22" xfId="0" applyFont="1" applyFill="1" applyBorder="1" applyAlignment="1">
      <alignment horizontal="center" vertical="center" wrapText="1"/>
    </xf>
    <xf numFmtId="164" fontId="32" fillId="8" borderId="22" xfId="0" applyNumberFormat="1" applyFont="1" applyFill="1" applyBorder="1" applyAlignment="1">
      <alignment horizontal="center" vertical="center" wrapText="1"/>
    </xf>
    <xf numFmtId="164" fontId="32" fillId="23" borderId="22" xfId="0" applyNumberFormat="1" applyFont="1" applyFill="1" applyBorder="1" applyAlignment="1">
      <alignment horizontal="center" vertical="center" wrapText="1"/>
    </xf>
    <xf numFmtId="0" fontId="32" fillId="8" borderId="18" xfId="0" applyFont="1" applyFill="1" applyBorder="1" applyAlignment="1">
      <alignment horizontal="center" vertical="center" wrapText="1"/>
    </xf>
    <xf numFmtId="0" fontId="29" fillId="2" borderId="50" xfId="0" applyFont="1" applyFill="1" applyBorder="1" applyAlignment="1">
      <alignment horizontal="center" vertical="center" wrapText="1"/>
    </xf>
    <xf numFmtId="0" fontId="33" fillId="2" borderId="51" xfId="0" applyFont="1" applyFill="1" applyBorder="1" applyAlignment="1">
      <alignment horizontal="center" vertical="center" wrapText="1"/>
    </xf>
    <xf numFmtId="0" fontId="29" fillId="2" borderId="49" xfId="0" applyFont="1" applyFill="1" applyBorder="1" applyAlignment="1">
      <alignment horizontal="center" vertical="center" wrapText="1"/>
    </xf>
    <xf numFmtId="0" fontId="29" fillId="2" borderId="54" xfId="0" applyFont="1" applyFill="1" applyBorder="1" applyAlignment="1">
      <alignment vertical="center" wrapText="1"/>
    </xf>
    <xf numFmtId="0" fontId="29" fillId="2" borderId="51" xfId="0" applyFont="1" applyFill="1" applyBorder="1" applyAlignment="1">
      <alignment vertical="center" wrapText="1"/>
    </xf>
    <xf numFmtId="0" fontId="29" fillId="2" borderId="52" xfId="0" applyFont="1" applyFill="1" applyBorder="1" applyAlignment="1">
      <alignment vertical="center" wrapText="1"/>
    </xf>
    <xf numFmtId="0" fontId="34" fillId="8" borderId="53" xfId="0" applyFont="1" applyFill="1" applyBorder="1" applyAlignment="1">
      <alignment horizontal="center" vertical="center" wrapText="1"/>
    </xf>
    <xf numFmtId="0" fontId="34" fillId="23" borderId="56" xfId="0" applyFont="1" applyFill="1" applyBorder="1" applyAlignment="1">
      <alignment horizontal="center" vertical="center" wrapText="1"/>
    </xf>
    <xf numFmtId="0" fontId="34" fillId="8" borderId="56" xfId="0" applyFont="1" applyFill="1" applyBorder="1" applyAlignment="1">
      <alignment horizontal="center" vertical="center" wrapText="1"/>
    </xf>
    <xf numFmtId="164" fontId="34" fillId="23" borderId="56" xfId="0" applyNumberFormat="1" applyFont="1" applyFill="1" applyBorder="1" applyAlignment="1">
      <alignment horizontal="center" vertical="center" wrapText="1"/>
    </xf>
    <xf numFmtId="0" fontId="34" fillId="8" borderId="44" xfId="0" applyFont="1" applyFill="1" applyBorder="1" applyAlignment="1">
      <alignment horizontal="center" vertical="center" wrapText="1"/>
    </xf>
    <xf numFmtId="0" fontId="34" fillId="23" borderId="45" xfId="0" applyFont="1" applyFill="1" applyBorder="1" applyAlignment="1">
      <alignment horizontal="center" vertical="center" wrapText="1"/>
    </xf>
    <xf numFmtId="0" fontId="34" fillId="8" borderId="45" xfId="0" applyFont="1" applyFill="1" applyBorder="1" applyAlignment="1">
      <alignment horizontal="center" vertical="center" wrapText="1"/>
    </xf>
    <xf numFmtId="164" fontId="30" fillId="8" borderId="1" xfId="0" applyNumberFormat="1" applyFont="1" applyFill="1" applyBorder="1" applyAlignment="1">
      <alignment horizontal="center" vertical="center" wrapText="1"/>
    </xf>
    <xf numFmtId="164" fontId="30" fillId="23" borderId="2" xfId="0" applyNumberFormat="1" applyFont="1" applyFill="1" applyBorder="1" applyAlignment="1">
      <alignment horizontal="center" vertical="center" wrapText="1"/>
    </xf>
    <xf numFmtId="1" fontId="30" fillId="8" borderId="2" xfId="0" applyNumberFormat="1" applyFont="1" applyFill="1" applyBorder="1" applyAlignment="1">
      <alignment horizontal="center" vertical="center" wrapText="1"/>
    </xf>
    <xf numFmtId="1" fontId="30" fillId="23" borderId="2" xfId="0" applyNumberFormat="1" applyFont="1" applyFill="1" applyBorder="1" applyAlignment="1">
      <alignment horizontal="center" vertical="center" wrapText="1"/>
    </xf>
    <xf numFmtId="0" fontId="29" fillId="2" borderId="51" xfId="0" applyFont="1" applyFill="1" applyBorder="1" applyAlignment="1">
      <alignment horizontal="center" vertical="center" wrapText="1"/>
    </xf>
    <xf numFmtId="0" fontId="33" fillId="2" borderId="54" xfId="0" applyFont="1" applyFill="1" applyBorder="1" applyAlignment="1">
      <alignment horizontal="center" vertical="center" wrapText="1"/>
    </xf>
    <xf numFmtId="0" fontId="29" fillId="2" borderId="41" xfId="0" applyFont="1" applyFill="1" applyBorder="1" applyAlignment="1">
      <alignment horizontal="center" vertical="center" wrapText="1"/>
    </xf>
    <xf numFmtId="0" fontId="35" fillId="2" borderId="51" xfId="0" applyFont="1" applyFill="1" applyBorder="1" applyAlignment="1">
      <alignment vertical="center" wrapText="1"/>
    </xf>
    <xf numFmtId="164" fontId="34" fillId="23" borderId="57" xfId="0" applyNumberFormat="1" applyFont="1" applyFill="1" applyBorder="1" applyAlignment="1">
      <alignment horizontal="center" vertical="center" wrapText="1"/>
    </xf>
    <xf numFmtId="0" fontId="30" fillId="23" borderId="18" xfId="0" applyFont="1" applyFill="1" applyBorder="1" applyAlignment="1">
      <alignment horizontal="center" vertical="center" wrapText="1"/>
    </xf>
    <xf numFmtId="1" fontId="30" fillId="23" borderId="31" xfId="0" applyNumberFormat="1" applyFont="1" applyFill="1" applyBorder="1" applyAlignment="1">
      <alignment horizontal="center" vertical="center" wrapText="1"/>
    </xf>
    <xf numFmtId="164" fontId="14" fillId="23" borderId="31" xfId="0" applyNumberFormat="1" applyFont="1" applyFill="1" applyBorder="1" applyAlignment="1">
      <alignment horizontal="center" vertical="center" wrapText="1"/>
    </xf>
    <xf numFmtId="0" fontId="26" fillId="23" borderId="27" xfId="0" applyFont="1" applyFill="1" applyBorder="1" applyAlignment="1">
      <alignment horizontal="center" vertical="center" wrapText="1"/>
    </xf>
    <xf numFmtId="0" fontId="34" fillId="23" borderId="43" xfId="0" applyFont="1" applyFill="1" applyBorder="1" applyAlignment="1">
      <alignment horizontal="center" vertical="center" wrapText="1"/>
    </xf>
    <xf numFmtId="0" fontId="21" fillId="4" borderId="54" xfId="0" applyFont="1" applyFill="1" applyBorder="1" applyAlignment="1">
      <alignment horizontal="center" vertical="center" wrapText="1"/>
    </xf>
    <xf numFmtId="164" fontId="16" fillId="4" borderId="39" xfId="0" applyNumberFormat="1" applyFont="1" applyFill="1" applyBorder="1" applyAlignment="1">
      <alignment horizontal="center" vertical="center" wrapText="1"/>
    </xf>
    <xf numFmtId="0" fontId="21" fillId="4" borderId="52" xfId="0" applyFont="1" applyFill="1" applyBorder="1" applyAlignment="1">
      <alignment horizontal="center" vertical="center"/>
    </xf>
    <xf numFmtId="164" fontId="34" fillId="8" borderId="29" xfId="0" applyNumberFormat="1" applyFont="1" applyFill="1" applyBorder="1" applyAlignment="1">
      <alignment horizontal="center" vertical="center" wrapText="1"/>
    </xf>
    <xf numFmtId="0" fontId="34" fillId="23" borderId="29" xfId="0" applyFont="1" applyFill="1" applyBorder="1" applyAlignment="1">
      <alignment horizontal="center" vertical="center" wrapText="1"/>
    </xf>
    <xf numFmtId="0" fontId="34" fillId="8" borderId="29" xfId="0" applyFont="1" applyFill="1" applyBorder="1" applyAlignment="1">
      <alignment horizontal="center" vertical="center" wrapText="1"/>
    </xf>
    <xf numFmtId="164" fontId="34" fillId="23" borderId="29" xfId="0" applyNumberFormat="1" applyFont="1" applyFill="1" applyBorder="1" applyAlignment="1">
      <alignment horizontal="center" vertical="center" wrapText="1"/>
    </xf>
    <xf numFmtId="1" fontId="30" fillId="23" borderId="22" xfId="0" applyNumberFormat="1" applyFont="1" applyFill="1" applyBorder="1" applyAlignment="1">
      <alignment horizontal="center" vertical="center" wrapText="1"/>
    </xf>
    <xf numFmtId="1" fontId="30" fillId="8" borderId="22" xfId="0" applyNumberFormat="1" applyFont="1" applyFill="1" applyBorder="1" applyAlignment="1">
      <alignment horizontal="center" vertical="center" wrapText="1"/>
    </xf>
    <xf numFmtId="0" fontId="33" fillId="2" borderId="50" xfId="0" applyFont="1" applyFill="1" applyBorder="1" applyAlignment="1">
      <alignment horizontal="center" vertical="center" wrapText="1"/>
    </xf>
    <xf numFmtId="0" fontId="29" fillId="2" borderId="66" xfId="0" applyFont="1" applyFill="1" applyBorder="1" applyAlignment="1">
      <alignment horizontal="center" vertical="center" wrapText="1"/>
    </xf>
    <xf numFmtId="0" fontId="34" fillId="23" borderId="27" xfId="0" applyFont="1" applyFill="1" applyBorder="1" applyAlignment="1">
      <alignment horizontal="center" vertical="center" wrapText="1"/>
    </xf>
    <xf numFmtId="164" fontId="8" fillId="23" borderId="34" xfId="0" applyNumberFormat="1" applyFont="1" applyFill="1" applyBorder="1" applyAlignment="1">
      <alignment horizontal="center" vertical="center" wrapText="1"/>
    </xf>
    <xf numFmtId="164" fontId="14" fillId="23" borderId="18" xfId="0" applyNumberFormat="1" applyFont="1" applyFill="1" applyBorder="1" applyAlignment="1">
      <alignment horizontal="center" vertical="center" wrapText="1"/>
    </xf>
    <xf numFmtId="20" fontId="8" fillId="23" borderId="18" xfId="0" applyNumberFormat="1" applyFont="1" applyFill="1" applyBorder="1" applyAlignment="1">
      <alignment horizontal="center" vertical="center" wrapText="1"/>
    </xf>
    <xf numFmtId="164" fontId="21" fillId="4" borderId="50" xfId="0" applyNumberFormat="1" applyFont="1" applyFill="1" applyBorder="1" applyAlignment="1">
      <alignment horizontal="center" vertical="center" wrapText="1"/>
    </xf>
    <xf numFmtId="164" fontId="11" fillId="4" borderId="41" xfId="0" applyNumberFormat="1" applyFont="1" applyFill="1" applyBorder="1" applyAlignment="1">
      <alignment horizontal="center" vertical="center" wrapText="1"/>
    </xf>
    <xf numFmtId="164" fontId="16" fillId="4" borderId="51" xfId="0" applyNumberFormat="1" applyFont="1" applyFill="1" applyBorder="1" applyAlignment="1">
      <alignment horizontal="center" vertical="center" wrapText="1"/>
    </xf>
    <xf numFmtId="164" fontId="16" fillId="4" borderId="67" xfId="0" applyNumberFormat="1" applyFont="1" applyFill="1" applyBorder="1" applyAlignment="1">
      <alignment horizontal="center" vertical="center" wrapText="1"/>
    </xf>
    <xf numFmtId="0" fontId="11" fillId="4" borderId="12" xfId="0" applyFont="1" applyFill="1" applyBorder="1" applyAlignment="1">
      <alignment horizontal="center" vertical="center" wrapText="1"/>
    </xf>
    <xf numFmtId="164" fontId="8" fillId="23" borderId="38" xfId="0" applyNumberFormat="1" applyFont="1" applyFill="1" applyBorder="1" applyAlignment="1">
      <alignment horizontal="center" vertical="center" wrapText="1"/>
    </xf>
    <xf numFmtId="164" fontId="8" fillId="8" borderId="38" xfId="0" applyNumberFormat="1" applyFont="1" applyFill="1" applyBorder="1" applyAlignment="1">
      <alignment horizontal="center" vertical="center" wrapText="1"/>
    </xf>
    <xf numFmtId="164" fontId="16" fillId="4" borderId="9" xfId="0" applyNumberFormat="1" applyFont="1" applyFill="1" applyBorder="1" applyAlignment="1">
      <alignment horizontal="center" vertical="center" wrapText="1"/>
    </xf>
    <xf numFmtId="0" fontId="21" fillId="4" borderId="69" xfId="0" applyFont="1" applyFill="1" applyBorder="1" applyAlignment="1">
      <alignment horizontal="center" vertical="center"/>
    </xf>
    <xf numFmtId="0" fontId="8" fillId="8" borderId="18" xfId="0" applyFont="1" applyFill="1" applyBorder="1" applyAlignment="1">
      <alignment horizontal="center" vertical="center" wrapText="1"/>
    </xf>
    <xf numFmtId="164" fontId="8" fillId="8" borderId="34" xfId="0" applyNumberFormat="1" applyFont="1" applyFill="1" applyBorder="1" applyAlignment="1">
      <alignment horizontal="center" vertical="center" wrapText="1"/>
    </xf>
    <xf numFmtId="164" fontId="14" fillId="8" borderId="18" xfId="0" applyNumberFormat="1" applyFont="1" applyFill="1" applyBorder="1" applyAlignment="1">
      <alignment horizontal="center" vertical="center" wrapText="1"/>
    </xf>
    <xf numFmtId="20" fontId="8" fillId="8" borderId="13" xfId="0" applyNumberFormat="1" applyFont="1" applyFill="1" applyBorder="1" applyAlignment="1">
      <alignment horizontal="center" vertical="center" wrapText="1"/>
    </xf>
    <xf numFmtId="0" fontId="11" fillId="4" borderId="72" xfId="0" applyFont="1" applyFill="1" applyBorder="1" applyAlignment="1">
      <alignment horizontal="center" vertical="center" wrapText="1"/>
    </xf>
    <xf numFmtId="164" fontId="16" fillId="4" borderId="11" xfId="0" applyNumberFormat="1" applyFont="1" applyFill="1" applyBorder="1" applyAlignment="1">
      <alignment horizontal="center" vertical="center" wrapText="1"/>
    </xf>
    <xf numFmtId="164" fontId="16" fillId="4" borderId="73" xfId="0" applyNumberFormat="1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16" fillId="4" borderId="74" xfId="0" applyFont="1" applyFill="1" applyBorder="1" applyAlignment="1">
      <alignment horizontal="center" vertical="center" wrapText="1"/>
    </xf>
    <xf numFmtId="0" fontId="16" fillId="4" borderId="73" xfId="0" applyFont="1" applyFill="1" applyBorder="1" applyAlignment="1">
      <alignment horizontal="center" vertical="center" wrapText="1"/>
    </xf>
    <xf numFmtId="164" fontId="11" fillId="4" borderId="72" xfId="0" applyNumberFormat="1" applyFont="1" applyFill="1" applyBorder="1" applyAlignment="1">
      <alignment horizontal="center" vertical="center" wrapText="1"/>
    </xf>
    <xf numFmtId="164" fontId="16" fillId="4" borderId="0" xfId="0" applyNumberFormat="1" applyFont="1" applyFill="1" applyAlignment="1">
      <alignment horizontal="center" vertical="center" wrapText="1"/>
    </xf>
    <xf numFmtId="0" fontId="16" fillId="4" borderId="75" xfId="0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 wrapText="1"/>
    </xf>
    <xf numFmtId="0" fontId="16" fillId="4" borderId="10" xfId="0" applyFont="1" applyFill="1" applyBorder="1" applyAlignment="1">
      <alignment horizontal="center" vertical="center" wrapText="1"/>
    </xf>
    <xf numFmtId="0" fontId="21" fillId="4" borderId="76" xfId="0" applyFont="1" applyFill="1" applyBorder="1" applyAlignment="1">
      <alignment horizontal="center" vertical="center"/>
    </xf>
    <xf numFmtId="20" fontId="18" fillId="4" borderId="40" xfId="0" applyNumberFormat="1" applyFont="1" applyFill="1" applyBorder="1" applyAlignment="1">
      <alignment vertical="center" wrapText="1"/>
    </xf>
    <xf numFmtId="20" fontId="18" fillId="4" borderId="41" xfId="0" applyNumberFormat="1" applyFont="1" applyFill="1" applyBorder="1" applyAlignment="1">
      <alignment vertical="center" wrapText="1"/>
    </xf>
    <xf numFmtId="0" fontId="34" fillId="8" borderId="27" xfId="0" applyFont="1" applyFill="1" applyBorder="1" applyAlignment="1">
      <alignment horizontal="center" vertical="center" wrapText="1"/>
    </xf>
    <xf numFmtId="164" fontId="34" fillId="8" borderId="45" xfId="0" applyNumberFormat="1" applyFont="1" applyFill="1" applyBorder="1" applyAlignment="1">
      <alignment horizontal="center" vertical="center" wrapText="1"/>
    </xf>
    <xf numFmtId="164" fontId="34" fillId="23" borderId="45" xfId="0" applyNumberFormat="1" applyFont="1" applyFill="1" applyBorder="1" applyAlignment="1">
      <alignment horizontal="center" vertical="center" wrapText="1"/>
    </xf>
    <xf numFmtId="0" fontId="34" fillId="8" borderId="43" xfId="0" applyFont="1" applyFill="1" applyBorder="1" applyAlignment="1">
      <alignment horizontal="center" vertical="center" wrapText="1"/>
    </xf>
    <xf numFmtId="1" fontId="30" fillId="8" borderId="31" xfId="0" applyNumberFormat="1" applyFont="1" applyFill="1" applyBorder="1" applyAlignment="1">
      <alignment horizontal="center" vertical="center" wrapText="1"/>
    </xf>
    <xf numFmtId="164" fontId="30" fillId="8" borderId="18" xfId="0" applyNumberFormat="1" applyFont="1" applyFill="1" applyBorder="1" applyAlignment="1">
      <alignment horizontal="center" vertical="center" wrapText="1"/>
    </xf>
    <xf numFmtId="0" fontId="33" fillId="0" borderId="50" xfId="0" applyFont="1" applyBorder="1" applyAlignment="1">
      <alignment horizontal="center" vertical="center" wrapText="1"/>
    </xf>
    <xf numFmtId="0" fontId="29" fillId="0" borderId="49" xfId="0" applyFont="1" applyBorder="1" applyAlignment="1">
      <alignment horizontal="center" vertical="center" wrapText="1"/>
    </xf>
    <xf numFmtId="0" fontId="29" fillId="0" borderId="66" xfId="0" applyFont="1" applyBorder="1" applyAlignment="1">
      <alignment horizontal="center" vertical="center" wrapText="1"/>
    </xf>
    <xf numFmtId="0" fontId="29" fillId="0" borderId="51" xfId="0" applyFont="1" applyBorder="1" applyAlignment="1">
      <alignment vertical="center" wrapText="1"/>
    </xf>
    <xf numFmtId="0" fontId="29" fillId="0" borderId="52" xfId="0" applyFont="1" applyBorder="1" applyAlignment="1">
      <alignment vertical="center" wrapText="1"/>
    </xf>
    <xf numFmtId="1" fontId="8" fillId="8" borderId="4" xfId="0" applyNumberFormat="1" applyFont="1" applyFill="1" applyBorder="1" applyAlignment="1">
      <alignment horizontal="center" vertical="center" wrapText="1"/>
    </xf>
    <xf numFmtId="1" fontId="8" fillId="23" borderId="4" xfId="0" applyNumberFormat="1" applyFont="1" applyFill="1" applyBorder="1" applyAlignment="1">
      <alignment horizontal="center" vertical="center" wrapText="1"/>
    </xf>
    <xf numFmtId="1" fontId="8" fillId="23" borderId="38" xfId="0" applyNumberFormat="1" applyFont="1" applyFill="1" applyBorder="1" applyAlignment="1">
      <alignment horizontal="center" vertical="center" wrapText="1"/>
    </xf>
    <xf numFmtId="164" fontId="8" fillId="8" borderId="45" xfId="0" applyNumberFormat="1" applyFont="1" applyFill="1" applyBorder="1" applyAlignment="1">
      <alignment horizontal="center" vertical="center" wrapText="1"/>
    </xf>
    <xf numFmtId="0" fontId="8" fillId="23" borderId="45" xfId="0" applyFont="1" applyFill="1" applyBorder="1" applyAlignment="1">
      <alignment horizontal="center" vertical="center" wrapText="1"/>
    </xf>
    <xf numFmtId="0" fontId="8" fillId="8" borderId="45" xfId="0" applyFont="1" applyFill="1" applyBorder="1" applyAlignment="1">
      <alignment horizontal="center" vertical="center" wrapText="1"/>
    </xf>
    <xf numFmtId="164" fontId="8" fillId="23" borderId="45" xfId="0" applyNumberFormat="1" applyFont="1" applyFill="1" applyBorder="1" applyAlignment="1">
      <alignment horizontal="center" vertical="center" wrapText="1"/>
    </xf>
    <xf numFmtId="164" fontId="16" fillId="4" borderId="46" xfId="0" applyNumberFormat="1" applyFont="1" applyFill="1" applyBorder="1" applyAlignment="1">
      <alignment horizontal="center" vertical="center" wrapText="1"/>
    </xf>
    <xf numFmtId="20" fontId="18" fillId="4" borderId="25" xfId="0" applyNumberFormat="1" applyFont="1" applyFill="1" applyBorder="1" applyAlignment="1">
      <alignment vertical="center" wrapText="1"/>
    </xf>
    <xf numFmtId="20" fontId="18" fillId="4" borderId="46" xfId="0" applyNumberFormat="1" applyFont="1" applyFill="1" applyBorder="1" applyAlignment="1">
      <alignment vertical="center" wrapText="1"/>
    </xf>
    <xf numFmtId="0" fontId="33" fillId="0" borderId="40" xfId="0" applyFont="1" applyBorder="1" applyAlignment="1">
      <alignment horizontal="center" vertical="center" wrapText="1"/>
    </xf>
    <xf numFmtId="164" fontId="8" fillId="23" borderId="43" xfId="0" applyNumberFormat="1" applyFont="1" applyFill="1" applyBorder="1" applyAlignment="1">
      <alignment horizontal="center" vertical="center" wrapText="1"/>
    </xf>
    <xf numFmtId="1" fontId="8" fillId="23" borderId="37" xfId="0" applyNumberFormat="1" applyFont="1" applyFill="1" applyBorder="1" applyAlignment="1">
      <alignment horizontal="center" vertical="center" wrapText="1"/>
    </xf>
    <xf numFmtId="0" fontId="8" fillId="23" borderId="43" xfId="0" applyFont="1" applyFill="1" applyBorder="1" applyAlignment="1">
      <alignment horizontal="center" vertical="center" wrapText="1"/>
    </xf>
    <xf numFmtId="164" fontId="16" fillId="4" borderId="52" xfId="0" applyNumberFormat="1" applyFont="1" applyFill="1" applyBorder="1" applyAlignment="1">
      <alignment horizontal="center" vertical="center" wrapText="1"/>
    </xf>
    <xf numFmtId="1" fontId="32" fillId="8" borderId="22" xfId="0" applyNumberFormat="1" applyFont="1" applyFill="1" applyBorder="1" applyAlignment="1">
      <alignment horizontal="center" vertical="center" wrapText="1"/>
    </xf>
    <xf numFmtId="1" fontId="32" fillId="8" borderId="2" xfId="0" applyNumberFormat="1" applyFont="1" applyFill="1" applyBorder="1" applyAlignment="1">
      <alignment horizontal="center" vertical="center" wrapText="1"/>
    </xf>
    <xf numFmtId="1" fontId="8" fillId="23" borderId="29" xfId="0" applyNumberFormat="1" applyFont="1" applyFill="1" applyBorder="1" applyAlignment="1">
      <alignment horizontal="center" vertical="center" wrapText="1"/>
    </xf>
    <xf numFmtId="0" fontId="8" fillId="8" borderId="56" xfId="0" applyFont="1" applyFill="1" applyBorder="1" applyAlignment="1">
      <alignment horizontal="center" vertical="center" wrapText="1"/>
    </xf>
    <xf numFmtId="0" fontId="8" fillId="23" borderId="56" xfId="0" applyFont="1" applyFill="1" applyBorder="1" applyAlignment="1">
      <alignment horizontal="center" vertical="center" wrapText="1"/>
    </xf>
    <xf numFmtId="1" fontId="8" fillId="23" borderId="56" xfId="0" applyNumberFormat="1" applyFont="1" applyFill="1" applyBorder="1" applyAlignment="1">
      <alignment horizontal="center" vertical="center" wrapText="1"/>
    </xf>
    <xf numFmtId="164" fontId="8" fillId="8" borderId="56" xfId="0" applyNumberFormat="1" applyFont="1" applyFill="1" applyBorder="1" applyAlignment="1">
      <alignment horizontal="center" vertical="center" wrapText="1"/>
    </xf>
    <xf numFmtId="164" fontId="34" fillId="23" borderId="27" xfId="0" applyNumberFormat="1" applyFont="1" applyFill="1" applyBorder="1" applyAlignment="1">
      <alignment horizontal="center" vertical="center" wrapText="1"/>
    </xf>
    <xf numFmtId="0" fontId="32" fillId="23" borderId="31" xfId="0" applyFont="1" applyFill="1" applyBorder="1" applyAlignment="1">
      <alignment horizontal="center" vertical="center" wrapText="1"/>
    </xf>
    <xf numFmtId="164" fontId="32" fillId="23" borderId="18" xfId="0" applyNumberFormat="1" applyFont="1" applyFill="1" applyBorder="1" applyAlignment="1">
      <alignment horizontal="center" vertical="center" wrapText="1"/>
    </xf>
    <xf numFmtId="164" fontId="32" fillId="23" borderId="31" xfId="0" applyNumberFormat="1" applyFont="1" applyFill="1" applyBorder="1" applyAlignment="1">
      <alignment horizontal="center" vertical="center" wrapText="1"/>
    </xf>
    <xf numFmtId="0" fontId="8" fillId="23" borderId="57" xfId="0" applyFont="1" applyFill="1" applyBorder="1" applyAlignment="1">
      <alignment horizontal="center" vertical="center" wrapText="1"/>
    </xf>
    <xf numFmtId="164" fontId="34" fillId="8" borderId="27" xfId="0" applyNumberFormat="1" applyFont="1" applyFill="1" applyBorder="1" applyAlignment="1">
      <alignment horizontal="center" vertical="center" wrapText="1"/>
    </xf>
    <xf numFmtId="1" fontId="8" fillId="8" borderId="34" xfId="0" applyNumberFormat="1" applyFont="1" applyFill="1" applyBorder="1" applyAlignment="1">
      <alignment horizontal="center" vertical="center" wrapText="1"/>
    </xf>
    <xf numFmtId="164" fontId="23" fillId="4" borderId="50" xfId="0" applyNumberFormat="1" applyFont="1" applyFill="1" applyBorder="1" applyAlignment="1">
      <alignment horizontal="center" vertical="center" wrapText="1"/>
    </xf>
    <xf numFmtId="0" fontId="24" fillId="4" borderId="49" xfId="0" applyFont="1" applyFill="1" applyBorder="1" applyAlignment="1">
      <alignment horizontal="center" vertical="center" wrapText="1"/>
    </xf>
    <xf numFmtId="0" fontId="24" fillId="4" borderId="41" xfId="0" applyFont="1" applyFill="1" applyBorder="1" applyAlignment="1">
      <alignment horizontal="center" vertical="center" wrapText="1"/>
    </xf>
    <xf numFmtId="164" fontId="24" fillId="4" borderId="41" xfId="0" applyNumberFormat="1" applyFont="1" applyFill="1" applyBorder="1" applyAlignment="1">
      <alignment horizontal="center" vertical="center" wrapText="1"/>
    </xf>
    <xf numFmtId="0" fontId="23" fillId="4" borderId="50" xfId="0" applyFont="1" applyFill="1" applyBorder="1" applyAlignment="1">
      <alignment horizontal="center" vertical="center"/>
    </xf>
    <xf numFmtId="1" fontId="8" fillId="8" borderId="29" xfId="0" applyNumberFormat="1" applyFont="1" applyFill="1" applyBorder="1" applyAlignment="1">
      <alignment horizontal="center" vertical="center" wrapText="1"/>
    </xf>
    <xf numFmtId="0" fontId="16" fillId="4" borderId="9" xfId="0" applyFont="1" applyFill="1" applyBorder="1" applyAlignment="1">
      <alignment horizontal="center" vertical="center" wrapText="1"/>
    </xf>
    <xf numFmtId="164" fontId="16" fillId="4" borderId="68" xfId="0" applyNumberFormat="1" applyFont="1" applyFill="1" applyBorder="1" applyAlignment="1">
      <alignment horizontal="center" vertical="center" wrapText="1"/>
    </xf>
    <xf numFmtId="1" fontId="8" fillId="8" borderId="17" xfId="0" applyNumberFormat="1" applyFont="1" applyFill="1" applyBorder="1" applyAlignment="1">
      <alignment horizontal="center" vertical="center" wrapText="1"/>
    </xf>
    <xf numFmtId="1" fontId="8" fillId="8" borderId="13" xfId="0" applyNumberFormat="1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center" vertical="center" wrapText="1"/>
    </xf>
    <xf numFmtId="164" fontId="21" fillId="4" borderId="75" xfId="0" applyNumberFormat="1" applyFont="1" applyFill="1" applyBorder="1" applyAlignment="1">
      <alignment horizontal="center" vertical="center" wrapText="1"/>
    </xf>
    <xf numFmtId="164" fontId="16" fillId="4" borderId="74" xfId="0" applyNumberFormat="1" applyFont="1" applyFill="1" applyBorder="1" applyAlignment="1">
      <alignment horizontal="center" vertical="center" wrapText="1"/>
    </xf>
    <xf numFmtId="20" fontId="18" fillId="4" borderId="72" xfId="0" applyNumberFormat="1" applyFont="1" applyFill="1" applyBorder="1" applyAlignment="1">
      <alignment vertical="center" wrapText="1"/>
    </xf>
    <xf numFmtId="20" fontId="18" fillId="4" borderId="0" xfId="0" applyNumberFormat="1" applyFont="1" applyFill="1" applyAlignment="1">
      <alignment vertical="center" wrapText="1"/>
    </xf>
    <xf numFmtId="0" fontId="21" fillId="4" borderId="75" xfId="0" applyFont="1" applyFill="1" applyBorder="1" applyAlignment="1">
      <alignment horizontal="center" vertical="center"/>
    </xf>
    <xf numFmtId="0" fontId="29" fillId="0" borderId="79" xfId="0" applyFont="1" applyBorder="1" applyAlignment="1">
      <alignment horizontal="center" vertical="center" wrapText="1"/>
    </xf>
    <xf numFmtId="0" fontId="33" fillId="0" borderId="79" xfId="0" applyFont="1" applyBorder="1" applyAlignment="1">
      <alignment horizontal="center" vertical="center" wrapText="1"/>
    </xf>
    <xf numFmtId="0" fontId="29" fillId="0" borderId="80" xfId="0" applyFont="1" applyBorder="1" applyAlignment="1">
      <alignment horizontal="center" vertical="center" wrapText="1"/>
    </xf>
    <xf numFmtId="164" fontId="30" fillId="8" borderId="31" xfId="0" applyNumberFormat="1" applyFont="1" applyFill="1" applyBorder="1" applyAlignment="1">
      <alignment horizontal="center" vertical="center" wrapText="1"/>
    </xf>
    <xf numFmtId="1" fontId="30" fillId="8" borderId="18" xfId="0" applyNumberFormat="1" applyFont="1" applyFill="1" applyBorder="1" applyAlignment="1">
      <alignment horizontal="center" vertical="center" wrapText="1"/>
    </xf>
    <xf numFmtId="164" fontId="8" fillId="23" borderId="37" xfId="0" applyNumberFormat="1" applyFont="1" applyFill="1" applyBorder="1" applyAlignment="1">
      <alignment horizontal="center" vertical="center" wrapText="1"/>
    </xf>
    <xf numFmtId="0" fontId="19" fillId="8" borderId="21" xfId="0" applyFont="1" applyFill="1" applyBorder="1" applyAlignment="1">
      <alignment horizontal="left" vertical="center" wrapText="1"/>
    </xf>
    <xf numFmtId="0" fontId="19" fillId="23" borderId="21" xfId="0" applyFont="1" applyFill="1" applyBorder="1" applyAlignment="1">
      <alignment horizontal="left" vertical="center" wrapText="1"/>
    </xf>
    <xf numFmtId="0" fontId="41" fillId="8" borderId="21" xfId="0" applyFont="1" applyFill="1" applyBorder="1" applyAlignment="1">
      <alignment horizontal="left" vertical="center" wrapText="1"/>
    </xf>
    <xf numFmtId="0" fontId="41" fillId="23" borderId="21" xfId="0" applyFont="1" applyFill="1" applyBorder="1" applyAlignment="1">
      <alignment horizontal="left" vertical="center" wrapText="1"/>
    </xf>
    <xf numFmtId="0" fontId="29" fillId="0" borderId="82" xfId="0" applyFont="1" applyBorder="1" applyAlignment="1">
      <alignment horizontal="center" vertical="center" wrapText="1"/>
    </xf>
    <xf numFmtId="164" fontId="8" fillId="8" borderId="4" xfId="0" quotePrefix="1" applyNumberFormat="1" applyFont="1" applyFill="1" applyBorder="1" applyAlignment="1">
      <alignment horizontal="center" vertical="center" wrapText="1"/>
    </xf>
    <xf numFmtId="164" fontId="8" fillId="8" borderId="21" xfId="0" quotePrefix="1" applyNumberFormat="1" applyFont="1" applyFill="1" applyBorder="1" applyAlignment="1">
      <alignment horizontal="center" vertical="center" wrapText="1"/>
    </xf>
    <xf numFmtId="0" fontId="33" fillId="0" borderId="70" xfId="0" applyFont="1" applyBorder="1" applyAlignment="1">
      <alignment horizontal="center" vertical="center" wrapText="1"/>
    </xf>
    <xf numFmtId="0" fontId="29" fillId="0" borderId="81" xfId="0" applyFont="1" applyBorder="1" applyAlignment="1">
      <alignment horizontal="center" vertical="center" wrapText="1"/>
    </xf>
    <xf numFmtId="0" fontId="8" fillId="8" borderId="29" xfId="0" quotePrefix="1" applyFont="1" applyFill="1" applyBorder="1" applyAlignment="1">
      <alignment horizontal="center" vertical="center" wrapText="1"/>
    </xf>
    <xf numFmtId="0" fontId="29" fillId="0" borderId="84" xfId="0" applyFont="1" applyBorder="1" applyAlignment="1">
      <alignment horizontal="center" vertical="center" wrapText="1"/>
    </xf>
    <xf numFmtId="0" fontId="29" fillId="0" borderId="71" xfId="0" applyFont="1" applyBorder="1" applyAlignment="1">
      <alignment horizontal="center" vertical="center" wrapText="1"/>
    </xf>
    <xf numFmtId="2" fontId="30" fillId="8" borderId="2" xfId="0" applyNumberFormat="1" applyFont="1" applyFill="1" applyBorder="1" applyAlignment="1">
      <alignment horizontal="center" vertical="center" wrapText="1"/>
    </xf>
    <xf numFmtId="0" fontId="41" fillId="23" borderId="17" xfId="0" applyFont="1" applyFill="1" applyBorder="1" applyAlignment="1">
      <alignment horizontal="left" vertical="center" wrapText="1"/>
    </xf>
    <xf numFmtId="1" fontId="8" fillId="23" borderId="34" xfId="0" applyNumberFormat="1" applyFont="1" applyFill="1" applyBorder="1" applyAlignment="1">
      <alignment horizontal="center" vertical="center" wrapText="1"/>
    </xf>
    <xf numFmtId="164" fontId="27" fillId="23" borderId="27" xfId="0" applyNumberFormat="1" applyFont="1" applyFill="1" applyBorder="1" applyAlignment="1">
      <alignment horizontal="center" vertical="center" wrapText="1"/>
    </xf>
    <xf numFmtId="20" fontId="18" fillId="4" borderId="41" xfId="0" applyNumberFormat="1" applyFont="1" applyFill="1" applyBorder="1" applyAlignment="1">
      <alignment horizontal="center" vertical="center" wrapText="1"/>
    </xf>
    <xf numFmtId="0" fontId="13" fillId="4" borderId="0" xfId="0" applyFont="1" applyFill="1" applyAlignment="1">
      <alignment horizontal="center" vertical="center" wrapText="1"/>
    </xf>
    <xf numFmtId="164" fontId="34" fillId="8" borderId="56" xfId="0" applyNumberFormat="1" applyFont="1" applyFill="1" applyBorder="1" applyAlignment="1">
      <alignment horizontal="center" vertical="center" wrapText="1"/>
    </xf>
    <xf numFmtId="2" fontId="30" fillId="8" borderId="22" xfId="0" applyNumberFormat="1" applyFont="1" applyFill="1" applyBorder="1" applyAlignment="1">
      <alignment horizontal="center" vertical="center" wrapText="1"/>
    </xf>
    <xf numFmtId="0" fontId="8" fillId="23" borderId="29" xfId="0" quotePrefix="1" applyFont="1" applyFill="1" applyBorder="1" applyAlignment="1">
      <alignment horizontal="center" vertical="center" wrapText="1"/>
    </xf>
    <xf numFmtId="0" fontId="8" fillId="23" borderId="45" xfId="0" quotePrefix="1" applyFont="1" applyFill="1" applyBorder="1" applyAlignment="1">
      <alignment horizontal="center" vertical="center" wrapText="1"/>
    </xf>
    <xf numFmtId="0" fontId="33" fillId="0" borderId="83" xfId="0" applyFont="1" applyBorder="1" applyAlignment="1">
      <alignment horizontal="center" vertical="center" wrapText="1"/>
    </xf>
    <xf numFmtId="164" fontId="21" fillId="4" borderId="86" xfId="0" applyNumberFormat="1" applyFont="1" applyFill="1" applyBorder="1" applyAlignment="1">
      <alignment horizontal="center" vertical="center" wrapText="1"/>
    </xf>
    <xf numFmtId="0" fontId="34" fillId="23" borderId="57" xfId="0" applyFont="1" applyFill="1" applyBorder="1" applyAlignment="1">
      <alignment horizontal="center" vertical="center" wrapText="1"/>
    </xf>
    <xf numFmtId="1" fontId="8" fillId="23" borderId="17" xfId="0" applyNumberFormat="1" applyFont="1" applyFill="1" applyBorder="1" applyAlignment="1">
      <alignment horizontal="center" vertical="center" wrapText="1"/>
    </xf>
    <xf numFmtId="1" fontId="8" fillId="23" borderId="13" xfId="0" applyNumberFormat="1" applyFont="1" applyFill="1" applyBorder="1" applyAlignment="1">
      <alignment horizontal="center" vertical="center" wrapText="1"/>
    </xf>
    <xf numFmtId="1" fontId="8" fillId="23" borderId="31" xfId="0" applyNumberFormat="1" applyFont="1" applyFill="1" applyBorder="1" applyAlignment="1">
      <alignment horizontal="center" vertical="center" wrapText="1"/>
    </xf>
    <xf numFmtId="164" fontId="21" fillId="4" borderId="87" xfId="0" applyNumberFormat="1" applyFont="1" applyFill="1" applyBorder="1" applyAlignment="1">
      <alignment horizontal="center" vertical="center" wrapText="1"/>
    </xf>
    <xf numFmtId="164" fontId="16" fillId="4" borderId="76" xfId="0" applyNumberFormat="1" applyFont="1" applyFill="1" applyBorder="1" applyAlignment="1">
      <alignment horizontal="center" vertical="center" wrapText="1"/>
    </xf>
    <xf numFmtId="0" fontId="8" fillId="23" borderId="38" xfId="0" quotePrefix="1" applyFont="1" applyFill="1" applyBorder="1" applyAlignment="1">
      <alignment horizontal="center" vertical="center" wrapText="1"/>
    </xf>
    <xf numFmtId="164" fontId="29" fillId="0" borderId="80" xfId="0" applyNumberFormat="1" applyFont="1" applyBorder="1" applyAlignment="1">
      <alignment horizontal="center" vertical="center" wrapText="1"/>
    </xf>
    <xf numFmtId="1" fontId="8" fillId="23" borderId="27" xfId="0" applyNumberFormat="1" applyFont="1" applyFill="1" applyBorder="1" applyAlignment="1">
      <alignment horizontal="center" vertical="center" wrapText="1"/>
    </xf>
    <xf numFmtId="164" fontId="16" fillId="4" borderId="75" xfId="0" applyNumberFormat="1" applyFont="1" applyFill="1" applyBorder="1" applyAlignment="1">
      <alignment horizontal="center" vertical="center" wrapText="1"/>
    </xf>
    <xf numFmtId="1" fontId="30" fillId="23" borderId="18" xfId="0" applyNumberFormat="1" applyFont="1" applyFill="1" applyBorder="1" applyAlignment="1">
      <alignment horizontal="center" vertical="center" wrapText="1"/>
    </xf>
    <xf numFmtId="164" fontId="29" fillId="0" borderId="81" xfId="0" applyNumberFormat="1" applyFont="1" applyBorder="1" applyAlignment="1">
      <alignment horizontal="center" vertical="center" wrapText="1"/>
    </xf>
    <xf numFmtId="0" fontId="8" fillId="8" borderId="37" xfId="0" quotePrefix="1" applyFont="1" applyFill="1" applyBorder="1" applyAlignment="1">
      <alignment horizontal="center" vertical="center" wrapText="1"/>
    </xf>
    <xf numFmtId="0" fontId="8" fillId="8" borderId="27" xfId="0" quotePrefix="1" applyFont="1" applyFill="1" applyBorder="1" applyAlignment="1">
      <alignment horizontal="center" vertical="center" wrapText="1"/>
    </xf>
    <xf numFmtId="20" fontId="18" fillId="4" borderId="72" xfId="0" applyNumberFormat="1" applyFont="1" applyFill="1" applyBorder="1" applyAlignment="1">
      <alignment horizontal="center" vertical="center" wrapText="1"/>
    </xf>
    <xf numFmtId="164" fontId="8" fillId="23" borderId="4" xfId="0" quotePrefix="1" applyNumberFormat="1" applyFont="1" applyFill="1" applyBorder="1" applyAlignment="1">
      <alignment horizontal="center" vertical="center" wrapText="1"/>
    </xf>
    <xf numFmtId="1" fontId="8" fillId="8" borderId="38" xfId="0" applyNumberFormat="1" applyFont="1" applyFill="1" applyBorder="1" applyAlignment="1">
      <alignment horizontal="center" vertical="center" wrapText="1"/>
    </xf>
    <xf numFmtId="2" fontId="30" fillId="23" borderId="2" xfId="0" applyNumberFormat="1" applyFont="1" applyFill="1" applyBorder="1" applyAlignment="1">
      <alignment horizontal="center" vertical="center" wrapText="1"/>
    </xf>
    <xf numFmtId="1" fontId="8" fillId="23" borderId="45" xfId="0" applyNumberFormat="1" applyFont="1" applyFill="1" applyBorder="1" applyAlignment="1">
      <alignment horizontal="center" vertical="center" wrapText="1"/>
    </xf>
    <xf numFmtId="0" fontId="16" fillId="7" borderId="82" xfId="0" applyFont="1" applyFill="1" applyBorder="1" applyAlignment="1">
      <alignment horizontal="center" vertical="center" wrapText="1"/>
    </xf>
    <xf numFmtId="0" fontId="17" fillId="7" borderId="70" xfId="0" applyFont="1" applyFill="1" applyBorder="1" applyAlignment="1">
      <alignment horizontal="center" vertical="center" wrapText="1"/>
    </xf>
    <xf numFmtId="0" fontId="16" fillId="7" borderId="81" xfId="0" applyFont="1" applyFill="1" applyBorder="1" applyAlignment="1">
      <alignment horizontal="center" vertical="center" wrapText="1"/>
    </xf>
    <xf numFmtId="164" fontId="16" fillId="7" borderId="80" xfId="0" applyNumberFormat="1" applyFont="1" applyFill="1" applyBorder="1" applyAlignment="1">
      <alignment horizontal="center" vertical="center" wrapText="1"/>
    </xf>
    <xf numFmtId="1" fontId="8" fillId="23" borderId="43" xfId="0" applyNumberFormat="1" applyFont="1" applyFill="1" applyBorder="1" applyAlignment="1">
      <alignment horizontal="center" vertical="center" wrapText="1"/>
    </xf>
    <xf numFmtId="0" fontId="8" fillId="8" borderId="45" xfId="0" quotePrefix="1" applyFont="1" applyFill="1" applyBorder="1" applyAlignment="1">
      <alignment horizontal="center" vertical="center" wrapText="1"/>
    </xf>
    <xf numFmtId="1" fontId="8" fillId="8" borderId="45" xfId="0" applyNumberFormat="1" applyFont="1" applyFill="1" applyBorder="1" applyAlignment="1">
      <alignment horizontal="center" vertical="center" wrapText="1"/>
    </xf>
    <xf numFmtId="1" fontId="8" fillId="8" borderId="22" xfId="0" applyNumberFormat="1" applyFont="1" applyFill="1" applyBorder="1" applyAlignment="1">
      <alignment horizontal="center" vertical="center" wrapText="1"/>
    </xf>
    <xf numFmtId="1" fontId="34" fillId="8" borderId="45" xfId="0" applyNumberFormat="1" applyFont="1" applyFill="1" applyBorder="1" applyAlignment="1">
      <alignment horizontal="center" vertical="center" wrapText="1"/>
    </xf>
    <xf numFmtId="164" fontId="8" fillId="23" borderId="21" xfId="0" quotePrefix="1" applyNumberFormat="1" applyFont="1" applyFill="1" applyBorder="1" applyAlignment="1">
      <alignment horizontal="center" vertical="center" wrapText="1"/>
    </xf>
    <xf numFmtId="164" fontId="8" fillId="23" borderId="31" xfId="0" applyNumberFormat="1" applyFont="1" applyFill="1" applyBorder="1" applyAlignment="1">
      <alignment horizontal="center" vertical="center" wrapText="1"/>
    </xf>
    <xf numFmtId="164" fontId="16" fillId="4" borderId="10" xfId="0" applyNumberFormat="1" applyFont="1" applyFill="1" applyBorder="1" applyAlignment="1">
      <alignment horizontal="center" vertical="center" wrapText="1"/>
    </xf>
    <xf numFmtId="1" fontId="34" fillId="8" borderId="29" xfId="0" applyNumberFormat="1" applyFont="1" applyFill="1" applyBorder="1" applyAlignment="1">
      <alignment horizontal="center" vertical="center" wrapText="1"/>
    </xf>
    <xf numFmtId="1" fontId="34" fillId="23" borderId="27" xfId="0" applyNumberFormat="1" applyFont="1" applyFill="1" applyBorder="1" applyAlignment="1">
      <alignment horizontal="center" vertical="center" wrapText="1"/>
    </xf>
    <xf numFmtId="164" fontId="21" fillId="4" borderId="50" xfId="0" applyNumberFormat="1" applyFont="1" applyFill="1" applyBorder="1" applyAlignment="1">
      <alignment horizontal="center" vertical="center"/>
    </xf>
    <xf numFmtId="164" fontId="21" fillId="4" borderId="54" xfId="0" applyNumberFormat="1" applyFont="1" applyFill="1" applyBorder="1" applyAlignment="1">
      <alignment horizontal="center" vertical="center" wrapText="1"/>
    </xf>
    <xf numFmtId="164" fontId="16" fillId="4" borderId="49" xfId="0" applyNumberFormat="1" applyFont="1" applyFill="1" applyBorder="1" applyAlignment="1">
      <alignment horizontal="center" vertical="center" wrapText="1"/>
    </xf>
    <xf numFmtId="0" fontId="33" fillId="0" borderId="54" xfId="0" applyFont="1" applyBorder="1" applyAlignment="1">
      <alignment horizontal="center" vertical="center" wrapText="1"/>
    </xf>
    <xf numFmtId="164" fontId="29" fillId="0" borderId="41" xfId="0" applyNumberFormat="1" applyFont="1" applyBorder="1" applyAlignment="1">
      <alignment horizontal="center" vertical="center" wrapText="1"/>
    </xf>
    <xf numFmtId="164" fontId="34" fillId="8" borderId="57" xfId="0" applyNumberFormat="1" applyFont="1" applyFill="1" applyBorder="1" applyAlignment="1">
      <alignment horizontal="center" vertical="center" wrapText="1"/>
    </xf>
    <xf numFmtId="0" fontId="30" fillId="8" borderId="31" xfId="0" applyFont="1" applyFill="1" applyBorder="1" applyAlignment="1">
      <alignment horizontal="center" vertical="center" wrapText="1"/>
    </xf>
    <xf numFmtId="0" fontId="8" fillId="8" borderId="13" xfId="0" quotePrefix="1" applyFont="1" applyFill="1" applyBorder="1" applyAlignment="1">
      <alignment horizontal="center" vertical="center" wrapText="1"/>
    </xf>
    <xf numFmtId="0" fontId="8" fillId="8" borderId="43" xfId="0" applyFont="1" applyFill="1" applyBorder="1" applyAlignment="1">
      <alignment horizontal="center" vertical="center" wrapText="1"/>
    </xf>
    <xf numFmtId="1" fontId="34" fillId="8" borderId="43" xfId="0" applyNumberFormat="1" applyFont="1" applyFill="1" applyBorder="1" applyAlignment="1">
      <alignment horizontal="center" vertical="center" wrapText="1"/>
    </xf>
    <xf numFmtId="20" fontId="18" fillId="4" borderId="76" xfId="0" applyNumberFormat="1" applyFont="1" applyFill="1" applyBorder="1" applyAlignment="1">
      <alignment vertical="center" wrapText="1"/>
    </xf>
    <xf numFmtId="1" fontId="8" fillId="8" borderId="4" xfId="0" quotePrefix="1" applyNumberFormat="1" applyFont="1" applyFill="1" applyBorder="1" applyAlignment="1">
      <alignment horizontal="center" vertical="center" wrapText="1"/>
    </xf>
    <xf numFmtId="0" fontId="11" fillId="4" borderId="76" xfId="0" applyFont="1" applyFill="1" applyBorder="1" applyAlignment="1">
      <alignment horizontal="center" vertical="center" wrapText="1"/>
    </xf>
    <xf numFmtId="164" fontId="11" fillId="4" borderId="76" xfId="0" applyNumberFormat="1" applyFont="1" applyFill="1" applyBorder="1" applyAlignment="1">
      <alignment horizontal="center" vertical="center" wrapText="1"/>
    </xf>
    <xf numFmtId="0" fontId="16" fillId="4" borderId="76" xfId="0" applyFont="1" applyFill="1" applyBorder="1" applyAlignment="1">
      <alignment horizontal="center" vertical="center" wrapText="1"/>
    </xf>
    <xf numFmtId="0" fontId="13" fillId="4" borderId="76" xfId="0" applyFont="1" applyFill="1" applyBorder="1" applyAlignment="1">
      <alignment horizontal="center" vertical="center" wrapText="1"/>
    </xf>
    <xf numFmtId="1" fontId="34" fillId="23" borderId="43" xfId="0" applyNumberFormat="1" applyFont="1" applyFill="1" applyBorder="1" applyAlignment="1">
      <alignment horizontal="center" vertical="center" wrapText="1"/>
    </xf>
    <xf numFmtId="0" fontId="0" fillId="12" borderId="12" xfId="0" applyFill="1" applyBorder="1" applyAlignment="1">
      <alignment horizontal="center"/>
    </xf>
    <xf numFmtId="0" fontId="0" fillId="12" borderId="10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4" borderId="11" xfId="0" applyFill="1" applyBorder="1" applyAlignment="1">
      <alignment horizontal="center"/>
    </xf>
    <xf numFmtId="0" fontId="22" fillId="6" borderId="14" xfId="0" applyFont="1" applyFill="1" applyBorder="1" applyAlignment="1">
      <alignment horizontal="center" vertical="center" wrapText="1"/>
    </xf>
    <xf numFmtId="0" fontId="22" fillId="6" borderId="17" xfId="0" applyFont="1" applyFill="1" applyBorder="1" applyAlignment="1">
      <alignment horizontal="center" vertical="center" wrapText="1"/>
    </xf>
    <xf numFmtId="0" fontId="15" fillId="6" borderId="36" xfId="0" applyFont="1" applyFill="1" applyBorder="1" applyAlignment="1">
      <alignment horizontal="center" vertical="center" wrapText="1"/>
    </xf>
    <xf numFmtId="0" fontId="15" fillId="6" borderId="37" xfId="0" applyFont="1" applyFill="1" applyBorder="1" applyAlignment="1">
      <alignment horizontal="center" vertical="center" wrapText="1"/>
    </xf>
    <xf numFmtId="0" fontId="15" fillId="6" borderId="55" xfId="0" applyFont="1" applyFill="1" applyBorder="1" applyAlignment="1">
      <alignment horizontal="center" vertical="center" wrapText="1"/>
    </xf>
    <xf numFmtId="0" fontId="15" fillId="6" borderId="57" xfId="0" applyFont="1" applyFill="1" applyBorder="1" applyAlignment="1">
      <alignment horizontal="center" vertical="center" wrapText="1"/>
    </xf>
    <xf numFmtId="0" fontId="15" fillId="6" borderId="42" xfId="0" applyFont="1" applyFill="1" applyBorder="1" applyAlignment="1">
      <alignment horizontal="center" vertical="center" wrapText="1"/>
    </xf>
    <xf numFmtId="0" fontId="15" fillId="6" borderId="43" xfId="0" applyFont="1" applyFill="1" applyBorder="1" applyAlignment="1">
      <alignment horizontal="center" vertical="center" wrapText="1"/>
    </xf>
    <xf numFmtId="0" fontId="20" fillId="4" borderId="9" xfId="0" applyFont="1" applyFill="1" applyBorder="1" applyAlignment="1">
      <alignment horizontal="center" vertical="center"/>
    </xf>
    <xf numFmtId="0" fontId="20" fillId="4" borderId="0" xfId="0" applyFont="1" applyFill="1" applyAlignment="1">
      <alignment horizontal="center" vertical="center"/>
    </xf>
    <xf numFmtId="0" fontId="9" fillId="12" borderId="0" xfId="0" applyFont="1" applyFill="1" applyAlignment="1">
      <alignment horizontal="center" vertical="center"/>
    </xf>
    <xf numFmtId="0" fontId="25" fillId="6" borderId="42" xfId="0" applyFont="1" applyFill="1" applyBorder="1" applyAlignment="1">
      <alignment horizontal="center" vertical="center" wrapText="1"/>
    </xf>
    <xf numFmtId="0" fontId="25" fillId="6" borderId="27" xfId="0" applyFont="1" applyFill="1" applyBorder="1" applyAlignment="1">
      <alignment horizontal="center" vertical="center" wrapText="1"/>
    </xf>
    <xf numFmtId="0" fontId="15" fillId="6" borderId="14" xfId="0" applyFont="1" applyFill="1" applyBorder="1" applyAlignment="1">
      <alignment horizontal="center" vertical="center" wrapText="1"/>
    </xf>
    <xf numFmtId="0" fontId="15" fillId="6" borderId="30" xfId="0" applyFont="1" applyFill="1" applyBorder="1" applyAlignment="1">
      <alignment horizontal="center" vertical="center" wrapText="1"/>
    </xf>
    <xf numFmtId="0" fontId="15" fillId="6" borderId="61" xfId="0" applyFont="1" applyFill="1" applyBorder="1" applyAlignment="1">
      <alignment horizontal="center" vertical="center" wrapText="1"/>
    </xf>
    <xf numFmtId="0" fontId="15" fillId="6" borderId="63" xfId="0" applyFont="1" applyFill="1" applyBorder="1" applyAlignment="1">
      <alignment horizontal="center" vertical="center" wrapText="1"/>
    </xf>
    <xf numFmtId="0" fontId="15" fillId="6" borderId="16" xfId="0" applyFont="1" applyFill="1" applyBorder="1" applyAlignment="1">
      <alignment horizontal="center" vertical="center" wrapText="1"/>
    </xf>
    <xf numFmtId="0" fontId="15" fillId="6" borderId="18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15" fillId="6" borderId="33" xfId="0" applyFont="1" applyFill="1" applyBorder="1" applyAlignment="1">
      <alignment horizontal="center" vertical="center" wrapText="1"/>
    </xf>
    <xf numFmtId="0" fontId="15" fillId="6" borderId="15" xfId="0" applyFont="1" applyFill="1" applyBorder="1" applyAlignment="1">
      <alignment horizontal="center" vertical="center" wrapText="1"/>
    </xf>
    <xf numFmtId="0" fontId="3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5" fillId="6" borderId="27" xfId="0" applyFont="1" applyFill="1" applyBorder="1" applyAlignment="1">
      <alignment horizontal="center" vertical="center" wrapText="1"/>
    </xf>
    <xf numFmtId="0" fontId="15" fillId="6" borderId="62" xfId="0" applyFont="1" applyFill="1" applyBorder="1" applyAlignment="1">
      <alignment horizontal="center" vertical="center" wrapText="1"/>
    </xf>
    <xf numFmtId="0" fontId="28" fillId="0" borderId="48" xfId="0" applyFont="1" applyBorder="1" applyAlignment="1">
      <alignment horizontal="left" vertical="center"/>
    </xf>
    <xf numFmtId="0" fontId="28" fillId="0" borderId="49" xfId="0" applyFont="1" applyBorder="1" applyAlignment="1">
      <alignment horizontal="left" vertical="center"/>
    </xf>
    <xf numFmtId="0" fontId="29" fillId="0" borderId="39" xfId="0" applyFont="1" applyBorder="1" applyAlignment="1">
      <alignment horizontal="center" vertical="center" wrapText="1"/>
    </xf>
    <xf numFmtId="0" fontId="29" fillId="0" borderId="40" xfId="0" applyFont="1" applyBorder="1" applyAlignment="1">
      <alignment horizontal="center" vertical="center" wrapText="1"/>
    </xf>
    <xf numFmtId="0" fontId="29" fillId="0" borderId="41" xfId="0" applyFont="1" applyBorder="1" applyAlignment="1">
      <alignment horizontal="center" vertical="center" wrapText="1"/>
    </xf>
    <xf numFmtId="0" fontId="29" fillId="0" borderId="48" xfId="0" applyFont="1" applyBorder="1" applyAlignment="1">
      <alignment horizontal="center" vertical="center" wrapText="1"/>
    </xf>
    <xf numFmtId="164" fontId="29" fillId="0" borderId="48" xfId="0" applyNumberFormat="1" applyFont="1" applyBorder="1" applyAlignment="1">
      <alignment horizontal="center" vertical="center" wrapText="1"/>
    </xf>
    <xf numFmtId="164" fontId="29" fillId="0" borderId="40" xfId="0" applyNumberFormat="1" applyFont="1" applyBorder="1" applyAlignment="1">
      <alignment horizontal="center" vertical="center" wrapText="1"/>
    </xf>
    <xf numFmtId="0" fontId="12" fillId="4" borderId="88" xfId="0" applyFont="1" applyFill="1" applyBorder="1" applyAlignment="1">
      <alignment horizontal="center" vertical="center"/>
    </xf>
    <xf numFmtId="0" fontId="12" fillId="4" borderId="89" xfId="0" applyFont="1" applyFill="1" applyBorder="1" applyAlignment="1">
      <alignment horizontal="center" vertical="center"/>
    </xf>
    <xf numFmtId="0" fontId="9" fillId="10" borderId="0" xfId="0" applyFont="1" applyFill="1" applyAlignment="1">
      <alignment horizontal="center" vertical="center"/>
    </xf>
    <xf numFmtId="0" fontId="0" fillId="10" borderId="12" xfId="0" applyFill="1" applyBorder="1" applyAlignment="1">
      <alignment horizontal="center"/>
    </xf>
    <xf numFmtId="0" fontId="0" fillId="10" borderId="10" xfId="0" applyFill="1" applyBorder="1" applyAlignment="1">
      <alignment horizontal="center"/>
    </xf>
    <xf numFmtId="0" fontId="2" fillId="0" borderId="0" xfId="0" applyFont="1" applyAlignment="1">
      <alignment horizontal="left"/>
    </xf>
    <xf numFmtId="0" fontId="4" fillId="3" borderId="0" xfId="0" applyFont="1" applyFill="1" applyAlignment="1">
      <alignment horizontal="left"/>
    </xf>
    <xf numFmtId="0" fontId="37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164" fontId="29" fillId="2" borderId="48" xfId="0" applyNumberFormat="1" applyFont="1" applyFill="1" applyBorder="1" applyAlignment="1">
      <alignment horizontal="center" vertical="center" wrapText="1"/>
    </xf>
    <xf numFmtId="164" fontId="29" fillId="2" borderId="40" xfId="0" applyNumberFormat="1" applyFont="1" applyFill="1" applyBorder="1" applyAlignment="1">
      <alignment horizontal="center" vertical="center" wrapText="1"/>
    </xf>
    <xf numFmtId="0" fontId="29" fillId="2" borderId="48" xfId="0" applyFont="1" applyFill="1" applyBorder="1" applyAlignment="1">
      <alignment horizontal="center" vertical="center" wrapText="1"/>
    </xf>
    <xf numFmtId="0" fontId="29" fillId="2" borderId="40" xfId="0" applyFont="1" applyFill="1" applyBorder="1" applyAlignment="1">
      <alignment horizontal="center" vertical="center" wrapText="1"/>
    </xf>
    <xf numFmtId="0" fontId="28" fillId="2" borderId="48" xfId="0" applyFont="1" applyFill="1" applyBorder="1" applyAlignment="1">
      <alignment horizontal="left" vertical="center"/>
    </xf>
    <xf numFmtId="0" fontId="28" fillId="2" borderId="49" xfId="0" applyFont="1" applyFill="1" applyBorder="1" applyAlignment="1">
      <alignment horizontal="left" vertical="center"/>
    </xf>
    <xf numFmtId="0" fontId="16" fillId="11" borderId="0" xfId="0" applyFont="1" applyFill="1" applyAlignment="1">
      <alignment horizontal="center" vertical="center"/>
    </xf>
    <xf numFmtId="0" fontId="28" fillId="2" borderId="41" xfId="0" applyFont="1" applyFill="1" applyBorder="1" applyAlignment="1">
      <alignment horizontal="left" vertical="center"/>
    </xf>
    <xf numFmtId="0" fontId="0" fillId="11" borderId="12" xfId="0" applyFill="1" applyBorder="1" applyAlignment="1">
      <alignment horizontal="center"/>
    </xf>
    <xf numFmtId="0" fontId="0" fillId="11" borderId="10" xfId="0" applyFill="1" applyBorder="1" applyAlignment="1">
      <alignment horizontal="center"/>
    </xf>
    <xf numFmtId="0" fontId="29" fillId="2" borderId="39" xfId="0" applyFont="1" applyFill="1" applyBorder="1" applyAlignment="1">
      <alignment horizontal="center" vertical="center" wrapText="1"/>
    </xf>
    <xf numFmtId="0" fontId="15" fillId="6" borderId="26" xfId="0" applyFont="1" applyFill="1" applyBorder="1" applyAlignment="1">
      <alignment horizontal="center" vertical="center" wrapText="1"/>
    </xf>
    <xf numFmtId="164" fontId="29" fillId="2" borderId="39" xfId="0" applyNumberFormat="1" applyFont="1" applyFill="1" applyBorder="1" applyAlignment="1">
      <alignment horizontal="center" vertical="center" wrapText="1"/>
    </xf>
    <xf numFmtId="164" fontId="29" fillId="2" borderId="49" xfId="0" applyNumberFormat="1" applyFont="1" applyFill="1" applyBorder="1" applyAlignment="1">
      <alignment horizontal="center" vertical="center" wrapText="1"/>
    </xf>
    <xf numFmtId="0" fontId="0" fillId="13" borderId="12" xfId="0" applyFill="1" applyBorder="1" applyAlignment="1">
      <alignment horizontal="center"/>
    </xf>
    <xf numFmtId="0" fontId="0" fillId="13" borderId="10" xfId="0" applyFill="1" applyBorder="1" applyAlignment="1">
      <alignment horizontal="center"/>
    </xf>
    <xf numFmtId="0" fontId="16" fillId="13" borderId="0" xfId="0" applyFont="1" applyFill="1" applyAlignment="1">
      <alignment horizontal="center" vertical="center"/>
    </xf>
    <xf numFmtId="0" fontId="29" fillId="2" borderId="51" xfId="0" applyFont="1" applyFill="1" applyBorder="1" applyAlignment="1">
      <alignment horizontal="center" vertical="center" wrapText="1"/>
    </xf>
    <xf numFmtId="0" fontId="25" fillId="6" borderId="36" xfId="0" applyFont="1" applyFill="1" applyBorder="1" applyAlignment="1">
      <alignment horizontal="center" vertical="center" wrapText="1"/>
    </xf>
    <xf numFmtId="0" fontId="25" fillId="6" borderId="37" xfId="0" applyFont="1" applyFill="1" applyBorder="1" applyAlignment="1">
      <alignment horizontal="center" vertical="center" wrapText="1"/>
    </xf>
    <xf numFmtId="0" fontId="25" fillId="6" borderId="43" xfId="0" applyFont="1" applyFill="1" applyBorder="1" applyAlignment="1">
      <alignment horizontal="center" vertical="center" wrapText="1"/>
    </xf>
    <xf numFmtId="0" fontId="28" fillId="0" borderId="41" xfId="0" applyFont="1" applyBorder="1" applyAlignment="1">
      <alignment horizontal="left" vertical="center"/>
    </xf>
    <xf numFmtId="164" fontId="29" fillId="0" borderId="39" xfId="0" applyNumberFormat="1" applyFont="1" applyBorder="1" applyAlignment="1">
      <alignment horizontal="center" vertical="center" wrapText="1"/>
    </xf>
    <xf numFmtId="0" fontId="29" fillId="0" borderId="49" xfId="0" applyFont="1" applyBorder="1" applyAlignment="1">
      <alignment horizontal="center" vertical="center" wrapText="1"/>
    </xf>
    <xf numFmtId="0" fontId="16" fillId="14" borderId="0" xfId="0" applyFont="1" applyFill="1" applyAlignment="1">
      <alignment horizontal="center" vertical="center"/>
    </xf>
    <xf numFmtId="0" fontId="0" fillId="14" borderId="0" xfId="0" applyFill="1" applyAlignment="1">
      <alignment horizontal="center"/>
    </xf>
    <xf numFmtId="0" fontId="28" fillId="0" borderId="40" xfId="0" applyFont="1" applyBorder="1" applyAlignment="1">
      <alignment horizontal="left" vertical="center"/>
    </xf>
    <xf numFmtId="0" fontId="16" fillId="15" borderId="0" xfId="0" applyFont="1" applyFill="1" applyAlignment="1">
      <alignment horizontal="center" vertical="center"/>
    </xf>
    <xf numFmtId="0" fontId="0" fillId="15" borderId="12" xfId="0" applyFill="1" applyBorder="1" applyAlignment="1">
      <alignment horizontal="center"/>
    </xf>
    <xf numFmtId="0" fontId="0" fillId="15" borderId="10" xfId="0" applyFill="1" applyBorder="1" applyAlignment="1">
      <alignment horizontal="center"/>
    </xf>
    <xf numFmtId="0" fontId="40" fillId="0" borderId="0" xfId="0" applyFont="1" applyAlignment="1">
      <alignment horizontal="left" vertical="center"/>
    </xf>
    <xf numFmtId="0" fontId="16" fillId="16" borderId="0" xfId="0" applyFont="1" applyFill="1" applyAlignment="1">
      <alignment horizontal="center" vertical="center"/>
    </xf>
    <xf numFmtId="0" fontId="0" fillId="16" borderId="0" xfId="0" applyFill="1" applyAlignment="1">
      <alignment horizontal="center"/>
    </xf>
    <xf numFmtId="0" fontId="0" fillId="17" borderId="12" xfId="0" applyFill="1" applyBorder="1" applyAlignment="1">
      <alignment horizontal="center"/>
    </xf>
    <xf numFmtId="0" fontId="0" fillId="17" borderId="10" xfId="0" applyFill="1" applyBorder="1" applyAlignment="1">
      <alignment horizontal="center"/>
    </xf>
    <xf numFmtId="0" fontId="16" fillId="17" borderId="0" xfId="0" applyFont="1" applyFill="1" applyAlignment="1">
      <alignment horizontal="center" vertical="center"/>
    </xf>
    <xf numFmtId="0" fontId="28" fillId="0" borderId="78" xfId="0" applyFont="1" applyBorder="1" applyAlignment="1">
      <alignment horizontal="left" vertical="center"/>
    </xf>
    <xf numFmtId="0" fontId="28" fillId="0" borderId="79" xfId="0" applyFont="1" applyBorder="1" applyAlignment="1">
      <alignment horizontal="left" vertical="center"/>
    </xf>
    <xf numFmtId="164" fontId="29" fillId="0" borderId="79" xfId="0" applyNumberFormat="1" applyFont="1" applyBorder="1" applyAlignment="1">
      <alignment horizontal="center" vertical="center" wrapText="1"/>
    </xf>
    <xf numFmtId="0" fontId="29" fillId="0" borderId="79" xfId="0" applyFont="1" applyBorder="1" applyAlignment="1">
      <alignment horizontal="center" vertical="center" wrapText="1"/>
    </xf>
    <xf numFmtId="0" fontId="29" fillId="0" borderId="80" xfId="0" applyFont="1" applyBorder="1" applyAlignment="1">
      <alignment horizontal="center" vertical="center" wrapText="1"/>
    </xf>
    <xf numFmtId="0" fontId="16" fillId="9" borderId="0" xfId="0" applyFont="1" applyFill="1" applyAlignment="1">
      <alignment horizontal="center" vertical="center"/>
    </xf>
    <xf numFmtId="0" fontId="0" fillId="9" borderId="12" xfId="0" applyFill="1" applyBorder="1" applyAlignment="1">
      <alignment horizontal="center"/>
    </xf>
    <xf numFmtId="0" fontId="0" fillId="9" borderId="10" xfId="0" applyFill="1" applyBorder="1" applyAlignment="1">
      <alignment horizontal="center"/>
    </xf>
    <xf numFmtId="0" fontId="9" fillId="18" borderId="0" xfId="0" applyFont="1" applyFill="1" applyAlignment="1">
      <alignment horizontal="center" vertical="center"/>
    </xf>
    <xf numFmtId="0" fontId="0" fillId="18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29" fillId="0" borderId="51" xfId="0" applyFont="1" applyBorder="1" applyAlignment="1">
      <alignment horizontal="center" vertical="center" wrapText="1"/>
    </xf>
    <xf numFmtId="0" fontId="29" fillId="0" borderId="82" xfId="0" applyFont="1" applyBorder="1" applyAlignment="1">
      <alignment horizontal="center" vertical="center" wrapText="1"/>
    </xf>
    <xf numFmtId="0" fontId="29" fillId="0" borderId="52" xfId="0" applyFont="1" applyBorder="1" applyAlignment="1">
      <alignment horizontal="center" vertical="center" wrapText="1"/>
    </xf>
    <xf numFmtId="0" fontId="29" fillId="0" borderId="83" xfId="0" applyFont="1" applyBorder="1" applyAlignment="1">
      <alignment horizontal="center" vertical="center" wrapText="1"/>
    </xf>
    <xf numFmtId="164" fontId="29" fillId="0" borderId="82" xfId="0" applyNumberFormat="1" applyFont="1" applyBorder="1" applyAlignment="1">
      <alignment horizontal="center" vertical="center" wrapText="1"/>
    </xf>
    <xf numFmtId="0" fontId="0" fillId="4" borderId="10" xfId="0" applyFill="1" applyBorder="1" applyAlignment="1">
      <alignment horizontal="center"/>
    </xf>
    <xf numFmtId="0" fontId="22" fillId="5" borderId="0" xfId="0" applyFont="1" applyFill="1" applyAlignment="1">
      <alignment horizontal="center" vertical="center"/>
    </xf>
    <xf numFmtId="0" fontId="22" fillId="5" borderId="11" xfId="0" applyFont="1" applyFill="1" applyBorder="1" applyAlignment="1">
      <alignment horizontal="center" vertical="center"/>
    </xf>
    <xf numFmtId="0" fontId="0" fillId="19" borderId="12" xfId="0" applyFill="1" applyBorder="1" applyAlignment="1">
      <alignment horizontal="center"/>
    </xf>
    <xf numFmtId="0" fontId="0" fillId="19" borderId="10" xfId="0" applyFill="1" applyBorder="1" applyAlignment="1">
      <alignment horizontal="center"/>
    </xf>
    <xf numFmtId="0" fontId="13" fillId="4" borderId="9" xfId="0" applyFont="1" applyFill="1" applyBorder="1" applyAlignment="1">
      <alignment horizontal="center"/>
    </xf>
    <xf numFmtId="0" fontId="13" fillId="4" borderId="8" xfId="0" applyFont="1" applyFill="1" applyBorder="1" applyAlignment="1">
      <alignment horizontal="center"/>
    </xf>
    <xf numFmtId="0" fontId="13" fillId="4" borderId="0" xfId="0" applyFont="1" applyFill="1" applyAlignment="1">
      <alignment horizontal="center"/>
    </xf>
    <xf numFmtId="0" fontId="13" fillId="4" borderId="11" xfId="0" applyFont="1" applyFill="1" applyBorder="1" applyAlignment="1">
      <alignment horizontal="center"/>
    </xf>
    <xf numFmtId="0" fontId="9" fillId="19" borderId="0" xfId="0" applyFont="1" applyFill="1" applyAlignment="1">
      <alignment horizontal="center" vertical="center"/>
    </xf>
    <xf numFmtId="0" fontId="28" fillId="0" borderId="80" xfId="0" applyFont="1" applyBorder="1" applyAlignment="1">
      <alignment horizontal="left" vertical="center"/>
    </xf>
    <xf numFmtId="0" fontId="29" fillId="0" borderId="85" xfId="0" applyFont="1" applyBorder="1" applyAlignment="1">
      <alignment horizontal="center" vertical="center" wrapText="1"/>
    </xf>
    <xf numFmtId="164" fontId="29" fillId="0" borderId="78" xfId="0" applyNumberFormat="1" applyFont="1" applyBorder="1" applyAlignment="1">
      <alignment horizontal="center" vertical="center" wrapText="1"/>
    </xf>
    <xf numFmtId="164" fontId="29" fillId="0" borderId="85" xfId="0" applyNumberFormat="1" applyFont="1" applyBorder="1" applyAlignment="1">
      <alignment horizontal="center" vertical="center" wrapText="1"/>
    </xf>
    <xf numFmtId="0" fontId="29" fillId="0" borderId="78" xfId="0" applyFont="1" applyBorder="1" applyAlignment="1">
      <alignment horizontal="center" vertical="center" wrapText="1"/>
    </xf>
    <xf numFmtId="0" fontId="16" fillId="24" borderId="0" xfId="0" applyFont="1" applyFill="1" applyAlignment="1">
      <alignment horizontal="center" vertical="center"/>
    </xf>
    <xf numFmtId="0" fontId="0" fillId="24" borderId="12" xfId="0" applyFill="1" applyBorder="1" applyAlignment="1">
      <alignment horizontal="center"/>
    </xf>
    <xf numFmtId="0" fontId="0" fillId="24" borderId="10" xfId="0" applyFill="1" applyBorder="1" applyAlignment="1">
      <alignment horizontal="center"/>
    </xf>
    <xf numFmtId="0" fontId="0" fillId="25" borderId="12" xfId="0" applyFill="1" applyBorder="1" applyAlignment="1">
      <alignment horizontal="center"/>
    </xf>
    <xf numFmtId="0" fontId="0" fillId="25" borderId="10" xfId="0" applyFill="1" applyBorder="1" applyAlignment="1">
      <alignment horizontal="center"/>
    </xf>
    <xf numFmtId="0" fontId="16" fillId="25" borderId="0" xfId="0" applyFont="1" applyFill="1" applyAlignment="1">
      <alignment horizontal="center" vertical="center"/>
    </xf>
    <xf numFmtId="0" fontId="9" fillId="20" borderId="0" xfId="0" applyFont="1" applyFill="1" applyAlignment="1">
      <alignment horizontal="center" vertical="center"/>
    </xf>
    <xf numFmtId="164" fontId="16" fillId="7" borderId="85" xfId="0" applyNumberFormat="1" applyFont="1" applyFill="1" applyBorder="1" applyAlignment="1">
      <alignment horizontal="center" vertical="center" wrapText="1"/>
    </xf>
    <xf numFmtId="164" fontId="16" fillId="7" borderId="79" xfId="0" applyNumberFormat="1" applyFont="1" applyFill="1" applyBorder="1" applyAlignment="1">
      <alignment horizontal="center" vertical="center" wrapText="1"/>
    </xf>
    <xf numFmtId="0" fontId="16" fillId="7" borderId="78" xfId="0" applyFont="1" applyFill="1" applyBorder="1" applyAlignment="1">
      <alignment horizontal="center" vertical="center" wrapText="1"/>
    </xf>
    <xf numFmtId="0" fontId="16" fillId="7" borderId="79" xfId="0" applyFont="1" applyFill="1" applyBorder="1" applyAlignment="1">
      <alignment horizontal="center" vertical="center" wrapText="1"/>
    </xf>
    <xf numFmtId="0" fontId="0" fillId="20" borderId="12" xfId="0" applyFill="1" applyBorder="1" applyAlignment="1">
      <alignment horizontal="center"/>
    </xf>
    <xf numFmtId="0" fontId="0" fillId="20" borderId="10" xfId="0" applyFill="1" applyBorder="1" applyAlignment="1">
      <alignment horizontal="center"/>
    </xf>
    <xf numFmtId="0" fontId="12" fillId="4" borderId="87" xfId="0" applyFont="1" applyFill="1" applyBorder="1" applyAlignment="1">
      <alignment horizontal="center" vertical="center"/>
    </xf>
    <xf numFmtId="0" fontId="12" fillId="4" borderId="76" xfId="0" applyFont="1" applyFill="1" applyBorder="1" applyAlignment="1">
      <alignment horizontal="center" vertical="center"/>
    </xf>
    <xf numFmtId="0" fontId="12" fillId="7" borderId="78" xfId="0" applyFont="1" applyFill="1" applyBorder="1" applyAlignment="1">
      <alignment horizontal="left" vertical="center"/>
    </xf>
    <xf numFmtId="0" fontId="12" fillId="7" borderId="80" xfId="0" applyFont="1" applyFill="1" applyBorder="1" applyAlignment="1">
      <alignment horizontal="left" vertical="center"/>
    </xf>
    <xf numFmtId="0" fontId="16" fillId="7" borderId="85" xfId="0" applyFont="1" applyFill="1" applyBorder="1" applyAlignment="1">
      <alignment horizontal="center" vertical="center" wrapText="1"/>
    </xf>
    <xf numFmtId="0" fontId="16" fillId="7" borderId="80" xfId="0" applyFont="1" applyFill="1" applyBorder="1" applyAlignment="1">
      <alignment horizontal="center" vertical="center" wrapText="1"/>
    </xf>
    <xf numFmtId="0" fontId="12" fillId="4" borderId="68" xfId="0" applyFont="1" applyFill="1" applyBorder="1" applyAlignment="1">
      <alignment horizontal="left" vertical="center"/>
    </xf>
    <xf numFmtId="0" fontId="12" fillId="4" borderId="47" xfId="0" applyFont="1" applyFill="1" applyBorder="1" applyAlignment="1">
      <alignment horizontal="left" vertical="center"/>
    </xf>
    <xf numFmtId="0" fontId="0" fillId="21" borderId="12" xfId="0" applyFill="1" applyBorder="1" applyAlignment="1">
      <alignment horizontal="center"/>
    </xf>
    <xf numFmtId="0" fontId="0" fillId="21" borderId="10" xfId="0" applyFill="1" applyBorder="1" applyAlignment="1">
      <alignment horizontal="center"/>
    </xf>
    <xf numFmtId="0" fontId="16" fillId="21" borderId="0" xfId="0" applyFont="1" applyFill="1" applyAlignment="1">
      <alignment horizontal="center" vertical="center"/>
    </xf>
    <xf numFmtId="0" fontId="15" fillId="6" borderId="77" xfId="0" applyFont="1" applyFill="1" applyBorder="1" applyAlignment="1">
      <alignment horizontal="center" vertical="center" wrapText="1"/>
    </xf>
    <xf numFmtId="0" fontId="0" fillId="18" borderId="12" xfId="0" applyFill="1" applyBorder="1" applyAlignment="1">
      <alignment horizontal="center"/>
    </xf>
    <xf numFmtId="0" fontId="0" fillId="18" borderId="10" xfId="0" applyFill="1" applyBorder="1" applyAlignment="1">
      <alignment horizontal="center"/>
    </xf>
    <xf numFmtId="0" fontId="9" fillId="26" borderId="0" xfId="0" applyFont="1" applyFill="1" applyAlignment="1">
      <alignment horizontal="center" vertical="center"/>
    </xf>
    <xf numFmtId="0" fontId="0" fillId="26" borderId="12" xfId="0" applyFill="1" applyBorder="1" applyAlignment="1">
      <alignment horizontal="center"/>
    </xf>
    <xf numFmtId="0" fontId="0" fillId="26" borderId="10" xfId="0" applyFill="1" applyBorder="1" applyAlignment="1">
      <alignment horizontal="center"/>
    </xf>
    <xf numFmtId="0" fontId="0" fillId="22" borderId="12" xfId="0" applyFill="1" applyBorder="1" applyAlignment="1">
      <alignment horizontal="center"/>
    </xf>
    <xf numFmtId="0" fontId="0" fillId="22" borderId="10" xfId="0" applyFill="1" applyBorder="1" applyAlignment="1">
      <alignment horizontal="center"/>
    </xf>
    <xf numFmtId="0" fontId="9" fillId="2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78E25"/>
      <color rgb="FFFCB028"/>
      <color rgb="FFF86818"/>
      <color rgb="FFFF6600"/>
      <color rgb="FFDA0000"/>
      <color rgb="FFF71403"/>
      <color rgb="FFFCA810"/>
      <color rgb="FFB20F02"/>
      <color rgb="FF000046"/>
      <color rgb="FFFD4B3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7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8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9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0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2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3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4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5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6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7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8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9.pn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20.png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2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27</xdr:row>
      <xdr:rowOff>0</xdr:rowOff>
    </xdr:from>
    <xdr:to>
      <xdr:col>0</xdr:col>
      <xdr:colOff>304800</xdr:colOff>
      <xdr:row>28</xdr:row>
      <xdr:rowOff>38100</xdr:rowOff>
    </xdr:to>
    <xdr:sp macro="" textlink="">
      <xdr:nvSpPr>
        <xdr:cNvPr id="1009086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F0C4AB51-2B74-4034-99CB-80EF3752B72D}"/>
            </a:ext>
          </a:extLst>
        </xdr:cNvPr>
        <xdr:cNvSpPr>
          <a:spLocks noChangeAspect="1" noChangeArrowheads="1"/>
        </xdr:cNvSpPr>
      </xdr:nvSpPr>
      <xdr:spPr bwMode="auto">
        <a:xfrm>
          <a:off x="0" y="6581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457200</xdr:colOff>
      <xdr:row>0</xdr:row>
      <xdr:rowOff>0</xdr:rowOff>
    </xdr:from>
    <xdr:to>
      <xdr:col>0</xdr:col>
      <xdr:colOff>1200150</xdr:colOff>
      <xdr:row>3</xdr:row>
      <xdr:rowOff>190500</xdr:rowOff>
    </xdr:to>
    <xdr:pic>
      <xdr:nvPicPr>
        <xdr:cNvPr id="1009087" name="Imagen 1">
          <a:extLst>
            <a:ext uri="{FF2B5EF4-FFF2-40B4-BE49-F238E27FC236}">
              <a16:creationId xmlns:a16="http://schemas.microsoft.com/office/drawing/2014/main" id="{2E99CB45-F51D-024A-AC91-6CA4D8116B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0"/>
          <a:ext cx="7429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219075</xdr:colOff>
      <xdr:row>0</xdr:row>
      <xdr:rowOff>0</xdr:rowOff>
    </xdr:from>
    <xdr:to>
      <xdr:col>23</xdr:col>
      <xdr:colOff>13111</xdr:colOff>
      <xdr:row>3</xdr:row>
      <xdr:rowOff>138383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176A792-958A-4530-9A97-9C0C1FE444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782050" y="0"/>
          <a:ext cx="1318037" cy="6908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209342</xdr:colOff>
      <xdr:row>0</xdr:row>
      <xdr:rowOff>0</xdr:rowOff>
    </xdr:from>
    <xdr:to>
      <xdr:col>0</xdr:col>
      <xdr:colOff>1329313</xdr:colOff>
      <xdr:row>4</xdr:row>
      <xdr:rowOff>130337</xdr:rowOff>
    </xdr:to>
    <xdr:pic>
      <xdr:nvPicPr>
        <xdr:cNvPr id="989153" name="Imagen 1">
          <a:extLst>
            <a:ext uri="{FF2B5EF4-FFF2-40B4-BE49-F238E27FC236}">
              <a16:creationId xmlns:a16="http://schemas.microsoft.com/office/drawing/2014/main" id="{108EED82-C49B-BC61-5BE5-C19EC33113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342" y="0"/>
          <a:ext cx="1119971" cy="8316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10466</xdr:colOff>
      <xdr:row>0</xdr:row>
      <xdr:rowOff>52336</xdr:rowOff>
    </xdr:from>
    <xdr:to>
      <xdr:col>23</xdr:col>
      <xdr:colOff>41867</xdr:colOff>
      <xdr:row>3</xdr:row>
      <xdr:rowOff>115866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8CEEE7D-4147-43A3-89EE-A155B81E88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07444" y="52336"/>
          <a:ext cx="1161841" cy="60781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485775</xdr:colOff>
      <xdr:row>0</xdr:row>
      <xdr:rowOff>9525</xdr:rowOff>
    </xdr:from>
    <xdr:to>
      <xdr:col>0</xdr:col>
      <xdr:colOff>1200150</xdr:colOff>
      <xdr:row>3</xdr:row>
      <xdr:rowOff>171450</xdr:rowOff>
    </xdr:to>
    <xdr:pic>
      <xdr:nvPicPr>
        <xdr:cNvPr id="1014801" name="Imagen 1">
          <a:extLst>
            <a:ext uri="{FF2B5EF4-FFF2-40B4-BE49-F238E27FC236}">
              <a16:creationId xmlns:a16="http://schemas.microsoft.com/office/drawing/2014/main" id="{50DC1BE0-4B54-B04F-2A2B-B4DB81F50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9525"/>
          <a:ext cx="71437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285750</xdr:colOff>
      <xdr:row>0</xdr:row>
      <xdr:rowOff>57150</xdr:rowOff>
    </xdr:from>
    <xdr:to>
      <xdr:col>23</xdr:col>
      <xdr:colOff>123825</xdr:colOff>
      <xdr:row>3</xdr:row>
      <xdr:rowOff>112516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7AB3CEB-E173-4FFC-99D7-808DDB709D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96350" y="57150"/>
          <a:ext cx="1362075" cy="60781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0</xdr:row>
      <xdr:rowOff>45446</xdr:rowOff>
    </xdr:from>
    <xdr:to>
      <xdr:col>0</xdr:col>
      <xdr:colOff>1173201</xdr:colOff>
      <xdr:row>3</xdr:row>
      <xdr:rowOff>153864</xdr:rowOff>
    </xdr:to>
    <xdr:pic>
      <xdr:nvPicPr>
        <xdr:cNvPr id="991212" name="Imagen 1">
          <a:extLst>
            <a:ext uri="{FF2B5EF4-FFF2-40B4-BE49-F238E27FC236}">
              <a16:creationId xmlns:a16="http://schemas.microsoft.com/office/drawing/2014/main" id="{4BD390B9-C1E5-6999-E9CA-4C873653F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45446"/>
          <a:ext cx="716001" cy="6659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266700</xdr:colOff>
      <xdr:row>0</xdr:row>
      <xdr:rowOff>57150</xdr:rowOff>
    </xdr:from>
    <xdr:to>
      <xdr:col>23</xdr:col>
      <xdr:colOff>104775</xdr:colOff>
      <xdr:row>3</xdr:row>
      <xdr:rowOff>112516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930D808-47C0-4D2B-A337-12546142E4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29675" y="57150"/>
          <a:ext cx="1362075" cy="60781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438150</xdr:colOff>
      <xdr:row>0</xdr:row>
      <xdr:rowOff>9525</xdr:rowOff>
    </xdr:from>
    <xdr:to>
      <xdr:col>0</xdr:col>
      <xdr:colOff>1219200</xdr:colOff>
      <xdr:row>4</xdr:row>
      <xdr:rowOff>38100</xdr:rowOff>
    </xdr:to>
    <xdr:pic>
      <xdr:nvPicPr>
        <xdr:cNvPr id="1015819" name="Imagen 2">
          <a:extLst>
            <a:ext uri="{FF2B5EF4-FFF2-40B4-BE49-F238E27FC236}">
              <a16:creationId xmlns:a16="http://schemas.microsoft.com/office/drawing/2014/main" id="{977DB8E7-4A37-3EB8-8B7F-473450F706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9525"/>
          <a:ext cx="7810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238125</xdr:colOff>
      <xdr:row>0</xdr:row>
      <xdr:rowOff>66675</xdr:rowOff>
    </xdr:from>
    <xdr:to>
      <xdr:col>23</xdr:col>
      <xdr:colOff>68006</xdr:colOff>
      <xdr:row>3</xdr:row>
      <xdr:rowOff>132897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6685708-1718-484F-AA44-D644280F1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01100" y="66675"/>
          <a:ext cx="1353882" cy="6186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0</xdr:row>
      <xdr:rowOff>0</xdr:rowOff>
    </xdr:from>
    <xdr:to>
      <xdr:col>0</xdr:col>
      <xdr:colOff>1190625</xdr:colOff>
      <xdr:row>3</xdr:row>
      <xdr:rowOff>180975</xdr:rowOff>
    </xdr:to>
    <xdr:pic>
      <xdr:nvPicPr>
        <xdr:cNvPr id="1004971" name="Imagen 1">
          <a:extLst>
            <a:ext uri="{FF2B5EF4-FFF2-40B4-BE49-F238E27FC236}">
              <a16:creationId xmlns:a16="http://schemas.microsoft.com/office/drawing/2014/main" id="{60A671AA-6531-2931-46D9-DFF0B4CE7F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0"/>
          <a:ext cx="7334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314325</xdr:colOff>
      <xdr:row>0</xdr:row>
      <xdr:rowOff>47625</xdr:rowOff>
    </xdr:from>
    <xdr:to>
      <xdr:col>23</xdr:col>
      <xdr:colOff>152964</xdr:colOff>
      <xdr:row>3</xdr:row>
      <xdr:rowOff>119759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EF0FF33-95AD-4B97-A879-05CA6BB5A1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77300" y="47625"/>
          <a:ext cx="1362640" cy="62458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0</xdr:rowOff>
    </xdr:from>
    <xdr:to>
      <xdr:col>0</xdr:col>
      <xdr:colOff>1228725</xdr:colOff>
      <xdr:row>4</xdr:row>
      <xdr:rowOff>28575</xdr:rowOff>
    </xdr:to>
    <xdr:pic>
      <xdr:nvPicPr>
        <xdr:cNvPr id="1003956" name="Imagen 1">
          <a:extLst>
            <a:ext uri="{FF2B5EF4-FFF2-40B4-BE49-F238E27FC236}">
              <a16:creationId xmlns:a16="http://schemas.microsoft.com/office/drawing/2014/main" id="{CEC03751-897E-F4E8-4127-71B750AC91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0"/>
          <a:ext cx="7810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295275</xdr:colOff>
      <xdr:row>0</xdr:row>
      <xdr:rowOff>38100</xdr:rowOff>
    </xdr:from>
    <xdr:to>
      <xdr:col>23</xdr:col>
      <xdr:colOff>142673</xdr:colOff>
      <xdr:row>3</xdr:row>
      <xdr:rowOff>116146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FD67194-C458-447D-BEE3-83D8338E0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58250" y="38100"/>
          <a:ext cx="1371398" cy="630496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409575</xdr:colOff>
      <xdr:row>0</xdr:row>
      <xdr:rowOff>0</xdr:rowOff>
    </xdr:from>
    <xdr:to>
      <xdr:col>0</xdr:col>
      <xdr:colOff>1238250</xdr:colOff>
      <xdr:row>4</xdr:row>
      <xdr:rowOff>76200</xdr:rowOff>
    </xdr:to>
    <xdr:pic>
      <xdr:nvPicPr>
        <xdr:cNvPr id="1000430" name="Imagen 1">
          <a:extLst>
            <a:ext uri="{FF2B5EF4-FFF2-40B4-BE49-F238E27FC236}">
              <a16:creationId xmlns:a16="http://schemas.microsoft.com/office/drawing/2014/main" id="{C46F22AD-2218-C3A3-E676-21495DDFB8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0"/>
          <a:ext cx="82867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276225</xdr:colOff>
      <xdr:row>0</xdr:row>
      <xdr:rowOff>38100</xdr:rowOff>
    </xdr:from>
    <xdr:to>
      <xdr:col>23</xdr:col>
      <xdr:colOff>132915</xdr:colOff>
      <xdr:row>3</xdr:row>
      <xdr:rowOff>121257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4A3EF16-BE19-40DE-9C82-7E0A031826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39200" y="38100"/>
          <a:ext cx="1380690" cy="63560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0</xdr:rowOff>
    </xdr:from>
    <xdr:to>
      <xdr:col>0</xdr:col>
      <xdr:colOff>1181100</xdr:colOff>
      <xdr:row>3</xdr:row>
      <xdr:rowOff>180975</xdr:rowOff>
    </xdr:to>
    <xdr:pic>
      <xdr:nvPicPr>
        <xdr:cNvPr id="1001414" name="Imagen 1">
          <a:extLst>
            <a:ext uri="{FF2B5EF4-FFF2-40B4-BE49-F238E27FC236}">
              <a16:creationId xmlns:a16="http://schemas.microsoft.com/office/drawing/2014/main" id="{4457907B-5C93-D015-8438-D9E7BEEF0C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0"/>
          <a:ext cx="7334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314325</xdr:colOff>
      <xdr:row>0</xdr:row>
      <xdr:rowOff>47625</xdr:rowOff>
    </xdr:from>
    <xdr:to>
      <xdr:col>23</xdr:col>
      <xdr:colOff>179774</xdr:colOff>
      <xdr:row>3</xdr:row>
      <xdr:rowOff>136694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12BBC0F-7D47-4D35-9856-ED0541DDD9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77300" y="47625"/>
          <a:ext cx="1389449" cy="64151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0</xdr:row>
      <xdr:rowOff>0</xdr:rowOff>
    </xdr:from>
    <xdr:to>
      <xdr:col>0</xdr:col>
      <xdr:colOff>1200150</xdr:colOff>
      <xdr:row>3</xdr:row>
      <xdr:rowOff>161925</xdr:rowOff>
    </xdr:to>
    <xdr:pic>
      <xdr:nvPicPr>
        <xdr:cNvPr id="1010902" name="Imagen 1">
          <a:extLst>
            <a:ext uri="{FF2B5EF4-FFF2-40B4-BE49-F238E27FC236}">
              <a16:creationId xmlns:a16="http://schemas.microsoft.com/office/drawing/2014/main" id="{BE624FEB-E2F2-463E-7FA1-4FB3B2899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0"/>
          <a:ext cx="7429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254000</xdr:colOff>
      <xdr:row>0</xdr:row>
      <xdr:rowOff>50800</xdr:rowOff>
    </xdr:from>
    <xdr:to>
      <xdr:col>23</xdr:col>
      <xdr:colOff>119449</xdr:colOff>
      <xdr:row>3</xdr:row>
      <xdr:rowOff>141457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940E828-3E7E-429A-AAE9-13603614C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02700" y="50800"/>
          <a:ext cx="1389449" cy="63675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420584</xdr:colOff>
      <xdr:row>0</xdr:row>
      <xdr:rowOff>227</xdr:rowOff>
    </xdr:from>
    <xdr:to>
      <xdr:col>0</xdr:col>
      <xdr:colOff>1190625</xdr:colOff>
      <xdr:row>3</xdr:row>
      <xdr:rowOff>156236</xdr:rowOff>
    </xdr:to>
    <xdr:pic>
      <xdr:nvPicPr>
        <xdr:cNvPr id="996268" name="Imagen 1">
          <a:extLst>
            <a:ext uri="{FF2B5EF4-FFF2-40B4-BE49-F238E27FC236}">
              <a16:creationId xmlns:a16="http://schemas.microsoft.com/office/drawing/2014/main" id="{A8A336F3-099E-C8D9-51A2-3446C49C85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584" y="227"/>
          <a:ext cx="770041" cy="7745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98961</xdr:colOff>
      <xdr:row>0</xdr:row>
      <xdr:rowOff>38100</xdr:rowOff>
    </xdr:from>
    <xdr:to>
      <xdr:col>23</xdr:col>
      <xdr:colOff>266576</xdr:colOff>
      <xdr:row>3</xdr:row>
      <xdr:rowOff>110427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D6BD318-DFAA-4D31-9103-8017611F3C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68344" y="38100"/>
          <a:ext cx="1318037" cy="69083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85725</xdr:rowOff>
    </xdr:from>
    <xdr:to>
      <xdr:col>0</xdr:col>
      <xdr:colOff>1381125</xdr:colOff>
      <xdr:row>3</xdr:row>
      <xdr:rowOff>114300</xdr:rowOff>
    </xdr:to>
    <xdr:pic>
      <xdr:nvPicPr>
        <xdr:cNvPr id="1002882" name="Imagen 2">
          <a:extLst>
            <a:ext uri="{FF2B5EF4-FFF2-40B4-BE49-F238E27FC236}">
              <a16:creationId xmlns:a16="http://schemas.microsoft.com/office/drawing/2014/main" id="{BD9621B8-CD27-E1A3-224E-9665B2B280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85725"/>
          <a:ext cx="111442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309562</xdr:colOff>
      <xdr:row>0</xdr:row>
      <xdr:rowOff>59531</xdr:rowOff>
    </xdr:from>
    <xdr:to>
      <xdr:col>23</xdr:col>
      <xdr:colOff>175011</xdr:colOff>
      <xdr:row>3</xdr:row>
      <xdr:rowOff>148600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7EC55B8-402A-44A7-AC61-659341E75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70156" y="59531"/>
          <a:ext cx="1389449" cy="63675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</xdr:row>
      <xdr:rowOff>0</xdr:rowOff>
    </xdr:from>
    <xdr:to>
      <xdr:col>0</xdr:col>
      <xdr:colOff>304800</xdr:colOff>
      <xdr:row>23</xdr:row>
      <xdr:rowOff>142875</xdr:rowOff>
    </xdr:to>
    <xdr:sp macro="" textlink="">
      <xdr:nvSpPr>
        <xdr:cNvPr id="1012955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368741A5-3FF9-FB1B-2C38-EDF8DBE05CE8}"/>
            </a:ext>
          </a:extLst>
        </xdr:cNvPr>
        <xdr:cNvSpPr>
          <a:spLocks noChangeAspect="1" noChangeArrowheads="1"/>
        </xdr:cNvSpPr>
      </xdr:nvSpPr>
      <xdr:spPr bwMode="auto">
        <a:xfrm>
          <a:off x="0" y="5400675"/>
          <a:ext cx="3048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304800</xdr:colOff>
      <xdr:row>23</xdr:row>
      <xdr:rowOff>142875</xdr:rowOff>
    </xdr:to>
    <xdr:sp macro="" textlink="">
      <xdr:nvSpPr>
        <xdr:cNvPr id="1012956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77500234-805F-7ECD-B75E-1EC2E7F83111}"/>
            </a:ext>
          </a:extLst>
        </xdr:cNvPr>
        <xdr:cNvSpPr>
          <a:spLocks noChangeAspect="1" noChangeArrowheads="1"/>
        </xdr:cNvSpPr>
      </xdr:nvSpPr>
      <xdr:spPr bwMode="auto">
        <a:xfrm>
          <a:off x="0" y="5400675"/>
          <a:ext cx="3048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247650</xdr:colOff>
      <xdr:row>0</xdr:row>
      <xdr:rowOff>47625</xdr:rowOff>
    </xdr:from>
    <xdr:to>
      <xdr:col>0</xdr:col>
      <xdr:colOff>1419225</xdr:colOff>
      <xdr:row>3</xdr:row>
      <xdr:rowOff>152400</xdr:rowOff>
    </xdr:to>
    <xdr:pic>
      <xdr:nvPicPr>
        <xdr:cNvPr id="1012958" name="Imagen 1">
          <a:extLst>
            <a:ext uri="{FF2B5EF4-FFF2-40B4-BE49-F238E27FC236}">
              <a16:creationId xmlns:a16="http://schemas.microsoft.com/office/drawing/2014/main" id="{CE49CE1E-A50B-7D20-0E46-4A2F4E587A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47625"/>
          <a:ext cx="117157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302012</xdr:colOff>
      <xdr:row>0</xdr:row>
      <xdr:rowOff>34847</xdr:rowOff>
    </xdr:from>
    <xdr:to>
      <xdr:col>23</xdr:col>
      <xdr:colOff>158168</xdr:colOff>
      <xdr:row>3</xdr:row>
      <xdr:rowOff>114043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8D695EB-A5DD-4E3B-AABA-E5178D7847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97744" y="34847"/>
          <a:ext cx="1389449" cy="63675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304800</xdr:colOff>
      <xdr:row>22</xdr:row>
      <xdr:rowOff>142875</xdr:rowOff>
    </xdr:to>
    <xdr:sp macro="" textlink="">
      <xdr:nvSpPr>
        <xdr:cNvPr id="1009989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DD44DFCC-CE94-3EDF-CFFA-380CA1E3143C}"/>
            </a:ext>
          </a:extLst>
        </xdr:cNvPr>
        <xdr:cNvSpPr>
          <a:spLocks noChangeAspect="1" noChangeArrowheads="1"/>
        </xdr:cNvSpPr>
      </xdr:nvSpPr>
      <xdr:spPr bwMode="auto">
        <a:xfrm>
          <a:off x="0" y="5133975"/>
          <a:ext cx="3048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304800</xdr:colOff>
      <xdr:row>22</xdr:row>
      <xdr:rowOff>142875</xdr:rowOff>
    </xdr:to>
    <xdr:sp macro="" textlink="">
      <xdr:nvSpPr>
        <xdr:cNvPr id="1009990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E84AFE74-5853-2972-4090-08A693E9D9B5}"/>
            </a:ext>
          </a:extLst>
        </xdr:cNvPr>
        <xdr:cNvSpPr>
          <a:spLocks noChangeAspect="1" noChangeArrowheads="1"/>
        </xdr:cNvSpPr>
      </xdr:nvSpPr>
      <xdr:spPr bwMode="auto">
        <a:xfrm>
          <a:off x="0" y="5133975"/>
          <a:ext cx="3048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1238250</xdr:colOff>
      <xdr:row>4</xdr:row>
      <xdr:rowOff>66675</xdr:rowOff>
    </xdr:to>
    <xdr:pic>
      <xdr:nvPicPr>
        <xdr:cNvPr id="1009992" name="Imagen 5">
          <a:extLst>
            <a:ext uri="{FF2B5EF4-FFF2-40B4-BE49-F238E27FC236}">
              <a16:creationId xmlns:a16="http://schemas.microsoft.com/office/drawing/2014/main" id="{5A97A5F5-ECA6-4EE5-FE3B-0EE7FBC191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0"/>
          <a:ext cx="8191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317500</xdr:colOff>
      <xdr:row>0</xdr:row>
      <xdr:rowOff>45357</xdr:rowOff>
    </xdr:from>
    <xdr:to>
      <xdr:col>23</xdr:col>
      <xdr:colOff>164806</xdr:colOff>
      <xdr:row>3</xdr:row>
      <xdr:rowOff>126489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A8FED1A-A498-4155-AC53-03F3F3DBD1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58036" y="45357"/>
          <a:ext cx="1389449" cy="63675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</xdr:row>
      <xdr:rowOff>0</xdr:rowOff>
    </xdr:from>
    <xdr:to>
      <xdr:col>0</xdr:col>
      <xdr:colOff>304800</xdr:colOff>
      <xdr:row>23</xdr:row>
      <xdr:rowOff>66675</xdr:rowOff>
    </xdr:to>
    <xdr:sp macro="" textlink="">
      <xdr:nvSpPr>
        <xdr:cNvPr id="1007252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A004431E-B7D1-F326-C2DE-22C80D0A7717}"/>
            </a:ext>
          </a:extLst>
        </xdr:cNvPr>
        <xdr:cNvSpPr>
          <a:spLocks noChangeAspect="1" noChangeArrowheads="1"/>
        </xdr:cNvSpPr>
      </xdr:nvSpPr>
      <xdr:spPr bwMode="auto">
        <a:xfrm>
          <a:off x="0" y="54006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304800</xdr:colOff>
      <xdr:row>23</xdr:row>
      <xdr:rowOff>66675</xdr:rowOff>
    </xdr:to>
    <xdr:sp macro="" textlink="">
      <xdr:nvSpPr>
        <xdr:cNvPr id="1007253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69C38431-E199-7272-3716-ED767BC3A2C8}"/>
            </a:ext>
          </a:extLst>
        </xdr:cNvPr>
        <xdr:cNvSpPr>
          <a:spLocks noChangeAspect="1" noChangeArrowheads="1"/>
        </xdr:cNvSpPr>
      </xdr:nvSpPr>
      <xdr:spPr bwMode="auto">
        <a:xfrm>
          <a:off x="0" y="54006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447675</xdr:colOff>
      <xdr:row>0</xdr:row>
      <xdr:rowOff>9525</xdr:rowOff>
    </xdr:from>
    <xdr:to>
      <xdr:col>0</xdr:col>
      <xdr:colOff>1190625</xdr:colOff>
      <xdr:row>3</xdr:row>
      <xdr:rowOff>161925</xdr:rowOff>
    </xdr:to>
    <xdr:pic>
      <xdr:nvPicPr>
        <xdr:cNvPr id="1007255" name="Imagen 1">
          <a:extLst>
            <a:ext uri="{FF2B5EF4-FFF2-40B4-BE49-F238E27FC236}">
              <a16:creationId xmlns:a16="http://schemas.microsoft.com/office/drawing/2014/main" id="{D497BD84-9210-F691-F079-10E71A92343C}"/>
            </a:ext>
            <a:ext uri="{147F2762-F138-4A5C-976F-8EAC2B608ADB}">
              <a16:predDERef xmlns:a16="http://schemas.microsoft.com/office/drawing/2014/main" pred="{69C38431-E199-7272-3716-ED767BC3A2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9525"/>
          <a:ext cx="7429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266700</xdr:colOff>
      <xdr:row>0</xdr:row>
      <xdr:rowOff>38100</xdr:rowOff>
    </xdr:from>
    <xdr:to>
      <xdr:col>23</xdr:col>
      <xdr:colOff>132149</xdr:colOff>
      <xdr:row>3</xdr:row>
      <xdr:rowOff>122407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6F07589-8E24-4E55-9A3F-C39365C8B2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29675" y="38100"/>
          <a:ext cx="1389449" cy="63675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27</xdr:row>
      <xdr:rowOff>0</xdr:rowOff>
    </xdr:from>
    <xdr:to>
      <xdr:col>0</xdr:col>
      <xdr:colOff>304800</xdr:colOff>
      <xdr:row>28</xdr:row>
      <xdr:rowOff>142875</xdr:rowOff>
    </xdr:to>
    <xdr:sp macro="" textlink="">
      <xdr:nvSpPr>
        <xdr:cNvPr id="1013961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B3CD1770-257E-F28F-0DA4-766874F0D0E9}"/>
            </a:ext>
          </a:extLst>
        </xdr:cNvPr>
        <xdr:cNvSpPr>
          <a:spLocks noChangeAspect="1" noChangeArrowheads="1"/>
        </xdr:cNvSpPr>
      </xdr:nvSpPr>
      <xdr:spPr bwMode="auto">
        <a:xfrm>
          <a:off x="0" y="6734175"/>
          <a:ext cx="3048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304800</xdr:colOff>
      <xdr:row>28</xdr:row>
      <xdr:rowOff>142875</xdr:rowOff>
    </xdr:to>
    <xdr:sp macro="" textlink="">
      <xdr:nvSpPr>
        <xdr:cNvPr id="1013962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D5C1826E-56D4-3E20-D2B7-E4220632D866}"/>
            </a:ext>
          </a:extLst>
        </xdr:cNvPr>
        <xdr:cNvSpPr>
          <a:spLocks noChangeAspect="1" noChangeArrowheads="1"/>
        </xdr:cNvSpPr>
      </xdr:nvSpPr>
      <xdr:spPr bwMode="auto">
        <a:xfrm>
          <a:off x="0" y="6734175"/>
          <a:ext cx="3048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476250</xdr:colOff>
      <xdr:row>0</xdr:row>
      <xdr:rowOff>38100</xdr:rowOff>
    </xdr:from>
    <xdr:to>
      <xdr:col>0</xdr:col>
      <xdr:colOff>1162050</xdr:colOff>
      <xdr:row>3</xdr:row>
      <xdr:rowOff>171450</xdr:rowOff>
    </xdr:to>
    <xdr:pic>
      <xdr:nvPicPr>
        <xdr:cNvPr id="1013964" name="Imagen 1">
          <a:extLst>
            <a:ext uri="{FF2B5EF4-FFF2-40B4-BE49-F238E27FC236}">
              <a16:creationId xmlns:a16="http://schemas.microsoft.com/office/drawing/2014/main" id="{AD89093A-0186-8469-3B35-21837C964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38100"/>
          <a:ext cx="68580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202683</xdr:colOff>
      <xdr:row>0</xdr:row>
      <xdr:rowOff>44301</xdr:rowOff>
    </xdr:from>
    <xdr:to>
      <xdr:col>23</xdr:col>
      <xdr:colOff>85852</xdr:colOff>
      <xdr:row>3</xdr:row>
      <xdr:rowOff>138355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FC0FDF4-5BC9-4904-81F0-188419EB72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686578" y="44301"/>
          <a:ext cx="1389449" cy="63675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28</xdr:row>
      <xdr:rowOff>0</xdr:rowOff>
    </xdr:from>
    <xdr:to>
      <xdr:col>0</xdr:col>
      <xdr:colOff>304800</xdr:colOff>
      <xdr:row>29</xdr:row>
      <xdr:rowOff>66675</xdr:rowOff>
    </xdr:to>
    <xdr:sp macro="" textlink="">
      <xdr:nvSpPr>
        <xdr:cNvPr id="1011957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61A09E0D-F5C3-E338-C456-5B27617AD62D}"/>
            </a:ext>
          </a:extLst>
        </xdr:cNvPr>
        <xdr:cNvSpPr>
          <a:spLocks noChangeAspect="1" noChangeArrowheads="1"/>
        </xdr:cNvSpPr>
      </xdr:nvSpPr>
      <xdr:spPr bwMode="auto">
        <a:xfrm>
          <a:off x="0" y="7000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304800</xdr:colOff>
      <xdr:row>29</xdr:row>
      <xdr:rowOff>66675</xdr:rowOff>
    </xdr:to>
    <xdr:sp macro="" textlink="">
      <xdr:nvSpPr>
        <xdr:cNvPr id="1011958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139A5481-8E1D-FB8F-FBEA-52CF63195E82}"/>
            </a:ext>
          </a:extLst>
        </xdr:cNvPr>
        <xdr:cNvSpPr>
          <a:spLocks noChangeAspect="1" noChangeArrowheads="1"/>
        </xdr:cNvSpPr>
      </xdr:nvSpPr>
      <xdr:spPr bwMode="auto">
        <a:xfrm>
          <a:off x="0" y="7000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419100</xdr:colOff>
      <xdr:row>0</xdr:row>
      <xdr:rowOff>28575</xdr:rowOff>
    </xdr:from>
    <xdr:to>
      <xdr:col>0</xdr:col>
      <xdr:colOff>1257300</xdr:colOff>
      <xdr:row>3</xdr:row>
      <xdr:rowOff>171450</xdr:rowOff>
    </xdr:to>
    <xdr:pic>
      <xdr:nvPicPr>
        <xdr:cNvPr id="1011960" name="Imagen 1">
          <a:extLst>
            <a:ext uri="{FF2B5EF4-FFF2-40B4-BE49-F238E27FC236}">
              <a16:creationId xmlns:a16="http://schemas.microsoft.com/office/drawing/2014/main" id="{EEDAB78F-0EF0-BD3C-AFBE-13632EF6B8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8575"/>
          <a:ext cx="8382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299040</xdr:colOff>
      <xdr:row>0</xdr:row>
      <xdr:rowOff>44302</xdr:rowOff>
    </xdr:from>
    <xdr:to>
      <xdr:col>23</xdr:col>
      <xdr:colOff>182210</xdr:colOff>
      <xdr:row>3</xdr:row>
      <xdr:rowOff>138356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0A14C42-7DC9-4D87-87F4-556E31342A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782935" y="44302"/>
          <a:ext cx="1389449" cy="63675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23</xdr:row>
      <xdr:rowOff>0</xdr:rowOff>
    </xdr:from>
    <xdr:to>
      <xdr:col>0</xdr:col>
      <xdr:colOff>304800</xdr:colOff>
      <xdr:row>24</xdr:row>
      <xdr:rowOff>142875</xdr:rowOff>
    </xdr:to>
    <xdr:sp macro="" textlink="">
      <xdr:nvSpPr>
        <xdr:cNvPr id="1008252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4F72612F-FCE2-959D-EFD0-B57C67012F13}"/>
            </a:ext>
          </a:extLst>
        </xdr:cNvPr>
        <xdr:cNvSpPr>
          <a:spLocks noChangeAspect="1" noChangeArrowheads="1"/>
        </xdr:cNvSpPr>
      </xdr:nvSpPr>
      <xdr:spPr bwMode="auto">
        <a:xfrm>
          <a:off x="0" y="5667375"/>
          <a:ext cx="3048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304800</xdr:colOff>
      <xdr:row>24</xdr:row>
      <xdr:rowOff>142875</xdr:rowOff>
    </xdr:to>
    <xdr:sp macro="" textlink="">
      <xdr:nvSpPr>
        <xdr:cNvPr id="1008253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8F7F4915-2247-5A83-0792-B961071FD99F}"/>
            </a:ext>
          </a:extLst>
        </xdr:cNvPr>
        <xdr:cNvSpPr>
          <a:spLocks noChangeAspect="1" noChangeArrowheads="1"/>
        </xdr:cNvSpPr>
      </xdr:nvSpPr>
      <xdr:spPr bwMode="auto">
        <a:xfrm>
          <a:off x="0" y="5667375"/>
          <a:ext cx="3048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476250</xdr:colOff>
      <xdr:row>0</xdr:row>
      <xdr:rowOff>38100</xdr:rowOff>
    </xdr:from>
    <xdr:to>
      <xdr:col>0</xdr:col>
      <xdr:colOff>1162050</xdr:colOff>
      <xdr:row>3</xdr:row>
      <xdr:rowOff>161925</xdr:rowOff>
    </xdr:to>
    <xdr:pic>
      <xdr:nvPicPr>
        <xdr:cNvPr id="1008255" name="Imagen 1">
          <a:extLst>
            <a:ext uri="{FF2B5EF4-FFF2-40B4-BE49-F238E27FC236}">
              <a16:creationId xmlns:a16="http://schemas.microsoft.com/office/drawing/2014/main" id="{3172CB72-A339-F3D8-38C6-425E344D3B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38100"/>
          <a:ext cx="6858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326199</xdr:colOff>
      <xdr:row>0</xdr:row>
      <xdr:rowOff>26096</xdr:rowOff>
    </xdr:from>
    <xdr:to>
      <xdr:col>23</xdr:col>
      <xdr:colOff>202087</xdr:colOff>
      <xdr:row>3</xdr:row>
      <xdr:rowOff>101791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746457F-5AD5-4778-AB93-8F9468E557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33459" y="26096"/>
          <a:ext cx="1389449" cy="63675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20</xdr:row>
      <xdr:rowOff>0</xdr:rowOff>
    </xdr:from>
    <xdr:to>
      <xdr:col>0</xdr:col>
      <xdr:colOff>304800</xdr:colOff>
      <xdr:row>21</xdr:row>
      <xdr:rowOff>66675</xdr:rowOff>
    </xdr:to>
    <xdr:sp macro="" textlink="">
      <xdr:nvSpPr>
        <xdr:cNvPr id="1006189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F9568E5D-6444-CC4E-8DF2-0F5443581D18}"/>
            </a:ext>
          </a:extLst>
        </xdr:cNvPr>
        <xdr:cNvSpPr>
          <a:spLocks noChangeAspect="1" noChangeArrowheads="1"/>
        </xdr:cNvSpPr>
      </xdr:nvSpPr>
      <xdr:spPr bwMode="auto">
        <a:xfrm>
          <a:off x="0" y="4867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304800</xdr:colOff>
      <xdr:row>21</xdr:row>
      <xdr:rowOff>66675</xdr:rowOff>
    </xdr:to>
    <xdr:sp macro="" textlink="">
      <xdr:nvSpPr>
        <xdr:cNvPr id="1006190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ACE9A50A-8AD2-13FF-2890-4EEFFF80BC2A}"/>
            </a:ext>
          </a:extLst>
        </xdr:cNvPr>
        <xdr:cNvSpPr>
          <a:spLocks noChangeAspect="1" noChangeArrowheads="1"/>
        </xdr:cNvSpPr>
      </xdr:nvSpPr>
      <xdr:spPr bwMode="auto">
        <a:xfrm>
          <a:off x="0" y="4867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447675</xdr:colOff>
      <xdr:row>0</xdr:row>
      <xdr:rowOff>28575</xdr:rowOff>
    </xdr:from>
    <xdr:to>
      <xdr:col>0</xdr:col>
      <xdr:colOff>1219200</xdr:colOff>
      <xdr:row>3</xdr:row>
      <xdr:rowOff>152400</xdr:rowOff>
    </xdr:to>
    <xdr:pic>
      <xdr:nvPicPr>
        <xdr:cNvPr id="1006192" name="Imagen 1">
          <a:extLst>
            <a:ext uri="{FF2B5EF4-FFF2-40B4-BE49-F238E27FC236}">
              <a16:creationId xmlns:a16="http://schemas.microsoft.com/office/drawing/2014/main" id="{2F14353C-E7CD-C19E-6B14-AB04AA11BC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28575"/>
          <a:ext cx="77152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209086</xdr:colOff>
      <xdr:row>0</xdr:row>
      <xdr:rowOff>34848</xdr:rowOff>
    </xdr:from>
    <xdr:to>
      <xdr:col>23</xdr:col>
      <xdr:colOff>65242</xdr:colOff>
      <xdr:row>3</xdr:row>
      <xdr:rowOff>114044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3980C7A-548C-49F8-BFA6-95B62636E1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04818" y="34848"/>
          <a:ext cx="1389449" cy="6367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499984740745262"/>
  </sheetPr>
  <dimension ref="A1:BA34"/>
  <sheetViews>
    <sheetView zoomScaleNormal="100" workbookViewId="0">
      <selection activeCell="B1" sqref="B1:S2"/>
    </sheetView>
  </sheetViews>
  <sheetFormatPr defaultColWidth="9.140625" defaultRowHeight="15"/>
  <cols>
    <col min="1" max="1" width="25.140625" customWidth="1"/>
    <col min="2" max="2" width="6.85546875" customWidth="1"/>
    <col min="3" max="3" width="5.7109375" style="1" customWidth="1"/>
    <col min="4" max="4" width="6.140625" style="1" customWidth="1"/>
    <col min="5" max="23" width="5.7109375" style="1" customWidth="1"/>
    <col min="24" max="24" width="6.140625" style="1" customWidth="1"/>
    <col min="25" max="255" width="11.42578125" customWidth="1"/>
  </cols>
  <sheetData>
    <row r="1" spans="1:53" ht="14.25" customHeight="1">
      <c r="A1" s="407"/>
      <c r="B1" s="421" t="s">
        <v>0</v>
      </c>
      <c r="C1" s="421"/>
      <c r="D1" s="421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1"/>
      <c r="Q1" s="421"/>
      <c r="R1" s="421"/>
      <c r="S1" s="421"/>
      <c r="T1" s="409"/>
      <c r="U1" s="409"/>
      <c r="V1" s="409"/>
      <c r="W1" s="409"/>
      <c r="X1" s="410"/>
    </row>
    <row r="2" spans="1:53" ht="14.25" customHeight="1">
      <c r="A2" s="408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11"/>
      <c r="U2" s="411"/>
      <c r="V2" s="411"/>
      <c r="W2" s="411"/>
      <c r="X2" s="412"/>
    </row>
    <row r="3" spans="1:53" ht="15" customHeight="1">
      <c r="A3" s="408"/>
      <c r="B3" s="423" t="s">
        <v>1</v>
      </c>
      <c r="C3" s="423"/>
      <c r="D3" s="423"/>
      <c r="E3" s="423"/>
      <c r="F3" s="423"/>
      <c r="G3" s="423"/>
      <c r="H3" s="423"/>
      <c r="I3" s="423"/>
      <c r="J3" s="423"/>
      <c r="K3" s="423"/>
      <c r="L3" s="423"/>
      <c r="M3" s="423"/>
      <c r="N3" s="423"/>
      <c r="O3" s="423"/>
      <c r="P3" s="423"/>
      <c r="Q3" s="423"/>
      <c r="R3" s="423"/>
      <c r="S3" s="423"/>
      <c r="T3" s="411"/>
      <c r="U3" s="411"/>
      <c r="V3" s="411"/>
      <c r="W3" s="411"/>
      <c r="X3" s="412"/>
    </row>
    <row r="4" spans="1:53" ht="15.75" customHeight="1">
      <c r="A4" s="408"/>
      <c r="B4" s="423"/>
      <c r="C4" s="423"/>
      <c r="D4" s="423"/>
      <c r="E4" s="423"/>
      <c r="F4" s="423"/>
      <c r="G4" s="423"/>
      <c r="H4" s="423"/>
      <c r="I4" s="423"/>
      <c r="J4" s="423"/>
      <c r="K4" s="423"/>
      <c r="L4" s="423"/>
      <c r="M4" s="423"/>
      <c r="N4" s="423"/>
      <c r="O4" s="423"/>
      <c r="P4" s="423"/>
      <c r="Q4" s="423"/>
      <c r="R4" s="423"/>
      <c r="S4" s="423"/>
      <c r="T4" s="411"/>
      <c r="U4" s="411"/>
      <c r="V4" s="411"/>
      <c r="W4" s="411"/>
      <c r="X4" s="412"/>
    </row>
    <row r="5" spans="1:53" ht="15" customHeight="1">
      <c r="A5" s="413" t="s">
        <v>2</v>
      </c>
      <c r="B5" s="430" t="s">
        <v>3</v>
      </c>
      <c r="C5" s="415" t="s">
        <v>4</v>
      </c>
      <c r="D5" s="417" t="s">
        <v>5</v>
      </c>
      <c r="E5" s="426" t="s">
        <v>6</v>
      </c>
      <c r="F5" s="435"/>
      <c r="G5" s="430"/>
      <c r="H5" s="434" t="s">
        <v>7</v>
      </c>
      <c r="I5" s="435"/>
      <c r="J5" s="427"/>
      <c r="K5" s="426" t="s">
        <v>8</v>
      </c>
      <c r="L5" s="435"/>
      <c r="M5" s="427"/>
      <c r="N5" s="428" t="s">
        <v>9</v>
      </c>
      <c r="O5" s="439"/>
      <c r="P5" s="429"/>
      <c r="Q5" s="419" t="s">
        <v>10</v>
      </c>
      <c r="R5" s="415" t="s">
        <v>11</v>
      </c>
      <c r="S5" s="426" t="s">
        <v>12</v>
      </c>
      <c r="T5" s="427"/>
      <c r="U5" s="428" t="s">
        <v>13</v>
      </c>
      <c r="V5" s="429"/>
      <c r="W5" s="424" t="s">
        <v>14</v>
      </c>
      <c r="X5" s="419" t="s">
        <v>15</v>
      </c>
    </row>
    <row r="6" spans="1:53" ht="15" customHeight="1">
      <c r="A6" s="414"/>
      <c r="B6" s="431"/>
      <c r="C6" s="416"/>
      <c r="D6" s="418"/>
      <c r="E6" s="133" t="s">
        <v>16</v>
      </c>
      <c r="F6" s="134" t="s">
        <v>17</v>
      </c>
      <c r="G6" s="132" t="s">
        <v>18</v>
      </c>
      <c r="H6" s="135" t="s">
        <v>16</v>
      </c>
      <c r="I6" s="134" t="s">
        <v>17</v>
      </c>
      <c r="J6" s="136" t="s">
        <v>18</v>
      </c>
      <c r="K6" s="133" t="s">
        <v>16</v>
      </c>
      <c r="L6" s="134" t="s">
        <v>17</v>
      </c>
      <c r="M6" s="132" t="s">
        <v>18</v>
      </c>
      <c r="N6" s="140" t="s">
        <v>19</v>
      </c>
      <c r="O6" s="141" t="s">
        <v>20</v>
      </c>
      <c r="P6" s="142" t="s">
        <v>21</v>
      </c>
      <c r="Q6" s="438"/>
      <c r="R6" s="416"/>
      <c r="S6" s="133" t="s">
        <v>22</v>
      </c>
      <c r="T6" s="132" t="s">
        <v>23</v>
      </c>
      <c r="U6" s="140" t="s">
        <v>24</v>
      </c>
      <c r="V6" s="142" t="s">
        <v>25</v>
      </c>
      <c r="W6" s="425"/>
      <c r="X6" s="420"/>
    </row>
    <row r="7" spans="1:53" s="2" customFormat="1" ht="18.75" customHeight="1">
      <c r="A7" s="93" t="s">
        <v>26</v>
      </c>
      <c r="B7" s="21" t="s">
        <v>27</v>
      </c>
      <c r="C7" s="18">
        <v>35</v>
      </c>
      <c r="D7" s="149">
        <v>15.5</v>
      </c>
      <c r="E7" s="24">
        <f>224/35</f>
        <v>6.4</v>
      </c>
      <c r="F7" s="17">
        <f>395/35</f>
        <v>11.285714285714286</v>
      </c>
      <c r="G7" s="164">
        <v>56.7</v>
      </c>
      <c r="H7" s="24">
        <f>7/35</f>
        <v>0.2</v>
      </c>
      <c r="I7" s="17">
        <f>38/35</f>
        <v>1.0857142857142856</v>
      </c>
      <c r="J7" s="164">
        <v>18.399999999999999</v>
      </c>
      <c r="K7" s="24">
        <f>75/35</f>
        <v>2.1428571428571428</v>
      </c>
      <c r="L7" s="17">
        <f>199/35</f>
        <v>5.6857142857142859</v>
      </c>
      <c r="M7" s="173">
        <v>44.4</v>
      </c>
      <c r="N7" s="41">
        <v>5.4</v>
      </c>
      <c r="O7" s="16">
        <v>4.2</v>
      </c>
      <c r="P7" s="34">
        <v>9.6</v>
      </c>
      <c r="Q7" s="18">
        <v>2.2999999999999998</v>
      </c>
      <c r="R7" s="55">
        <v>0.4</v>
      </c>
      <c r="S7" s="45">
        <v>2.2999999999999998</v>
      </c>
      <c r="T7" s="46">
        <v>1.5</v>
      </c>
      <c r="U7" s="41">
        <v>2.9</v>
      </c>
      <c r="V7" s="65" t="s">
        <v>28</v>
      </c>
      <c r="W7" s="60" t="s">
        <v>29</v>
      </c>
      <c r="X7" s="156">
        <v>19.899999999999999</v>
      </c>
      <c r="AY7"/>
      <c r="AZ7"/>
      <c r="BA7"/>
    </row>
    <row r="8" spans="1:53" s="2" customFormat="1" ht="18.75" customHeight="1">
      <c r="A8" s="127" t="s">
        <v>30</v>
      </c>
      <c r="B8" s="22" t="s">
        <v>27</v>
      </c>
      <c r="C8" s="19">
        <v>23</v>
      </c>
      <c r="D8" s="150">
        <v>13.1</v>
      </c>
      <c r="E8" s="25">
        <f>78/23</f>
        <v>3.3913043478260869</v>
      </c>
      <c r="F8" s="12">
        <f>125/23</f>
        <v>5.4347826086956523</v>
      </c>
      <c r="G8" s="165">
        <v>62.4</v>
      </c>
      <c r="H8" s="25">
        <f>38/23</f>
        <v>1.6521739130434783</v>
      </c>
      <c r="I8" s="12">
        <f>119/23</f>
        <v>5.1739130434782608</v>
      </c>
      <c r="J8" s="165">
        <v>31.9</v>
      </c>
      <c r="K8" s="25">
        <f>31/23</f>
        <v>1.3478260869565217</v>
      </c>
      <c r="L8" s="12">
        <f>47/23</f>
        <v>2.0434782608695654</v>
      </c>
      <c r="M8" s="174">
        <v>66</v>
      </c>
      <c r="N8" s="42">
        <v>3.8</v>
      </c>
      <c r="O8" s="11">
        <v>1.4</v>
      </c>
      <c r="P8" s="35">
        <v>5.2</v>
      </c>
      <c r="Q8" s="19">
        <v>3.3</v>
      </c>
      <c r="R8" s="56">
        <v>0.3</v>
      </c>
      <c r="S8" s="47">
        <v>0.8</v>
      </c>
      <c r="T8" s="48">
        <v>1</v>
      </c>
      <c r="U8" s="42">
        <v>1.3</v>
      </c>
      <c r="V8" s="58" t="s">
        <v>28</v>
      </c>
      <c r="W8" s="61" t="s">
        <v>31</v>
      </c>
      <c r="X8" s="157">
        <v>16.2</v>
      </c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</row>
    <row r="9" spans="1:53" s="2" customFormat="1" ht="18.75" customHeight="1">
      <c r="A9" s="94" t="s">
        <v>32</v>
      </c>
      <c r="B9" s="23" t="s">
        <v>33</v>
      </c>
      <c r="C9" s="20">
        <v>5</v>
      </c>
      <c r="D9" s="151">
        <v>13</v>
      </c>
      <c r="E9" s="26">
        <f>15/5</f>
        <v>3</v>
      </c>
      <c r="F9" s="6">
        <f>21/5</f>
        <v>4.2</v>
      </c>
      <c r="G9" s="166">
        <v>71.400000000000006</v>
      </c>
      <c r="H9" s="26">
        <f>8/5</f>
        <v>1.6</v>
      </c>
      <c r="I9" s="6">
        <f>35/5</f>
        <v>7</v>
      </c>
      <c r="J9" s="166">
        <v>22.9</v>
      </c>
      <c r="K9" s="26">
        <f>11/5</f>
        <v>2.2000000000000002</v>
      </c>
      <c r="L9" s="6">
        <f>12/5</f>
        <v>2.4</v>
      </c>
      <c r="M9" s="175">
        <v>91.7</v>
      </c>
      <c r="N9" s="43">
        <v>2.6</v>
      </c>
      <c r="O9" s="7">
        <v>0.4</v>
      </c>
      <c r="P9" s="37">
        <v>3</v>
      </c>
      <c r="Q9" s="44">
        <v>3</v>
      </c>
      <c r="R9" s="57">
        <v>0</v>
      </c>
      <c r="S9" s="49">
        <v>2.8</v>
      </c>
      <c r="T9" s="50">
        <v>2</v>
      </c>
      <c r="U9" s="43">
        <v>1.8</v>
      </c>
      <c r="V9" s="59" t="s">
        <v>28</v>
      </c>
      <c r="W9" s="62" t="s">
        <v>34</v>
      </c>
      <c r="X9" s="158">
        <v>13</v>
      </c>
      <c r="AW9"/>
      <c r="AX9"/>
      <c r="AY9"/>
      <c r="AZ9"/>
      <c r="BA9"/>
    </row>
    <row r="10" spans="1:53" s="2" customFormat="1" ht="18.75" customHeight="1">
      <c r="A10" s="127" t="s">
        <v>35</v>
      </c>
      <c r="B10" s="22" t="s">
        <v>33</v>
      </c>
      <c r="C10" s="19">
        <v>4</v>
      </c>
      <c r="D10" s="150">
        <v>13.3</v>
      </c>
      <c r="E10" s="25">
        <f>13/4</f>
        <v>3.25</v>
      </c>
      <c r="F10" s="12">
        <f>21/4</f>
        <v>5.25</v>
      </c>
      <c r="G10" s="165">
        <v>61.9</v>
      </c>
      <c r="H10" s="25">
        <f>6/4</f>
        <v>1.5</v>
      </c>
      <c r="I10" s="12">
        <f>16/4</f>
        <v>4</v>
      </c>
      <c r="J10" s="165">
        <v>37.5</v>
      </c>
      <c r="K10" s="25">
        <f>9/4</f>
        <v>2.25</v>
      </c>
      <c r="L10" s="12">
        <f>10/4</f>
        <v>2.5</v>
      </c>
      <c r="M10" s="174">
        <v>90</v>
      </c>
      <c r="N10" s="29">
        <v>3</v>
      </c>
      <c r="O10" s="11">
        <v>1.3</v>
      </c>
      <c r="P10" s="35">
        <v>4.3</v>
      </c>
      <c r="Q10" s="19">
        <v>0.8</v>
      </c>
      <c r="R10" s="56">
        <v>0.8</v>
      </c>
      <c r="S10" s="25">
        <v>2</v>
      </c>
      <c r="T10" s="51">
        <v>0</v>
      </c>
      <c r="U10" s="42">
        <v>2.8</v>
      </c>
      <c r="V10" s="58" t="s">
        <v>28</v>
      </c>
      <c r="W10" s="61" t="s">
        <v>36</v>
      </c>
      <c r="X10" s="157">
        <v>12.3</v>
      </c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</row>
    <row r="11" spans="1:53" s="2" customFormat="1" ht="18.75" customHeight="1">
      <c r="A11" s="94" t="s">
        <v>37</v>
      </c>
      <c r="B11" s="23" t="s">
        <v>33</v>
      </c>
      <c r="C11" s="20">
        <v>39</v>
      </c>
      <c r="D11" s="151">
        <v>15</v>
      </c>
      <c r="E11" s="26">
        <f>97/39</f>
        <v>2.4871794871794872</v>
      </c>
      <c r="F11" s="6">
        <f>226/39</f>
        <v>5.7948717948717947</v>
      </c>
      <c r="G11" s="166">
        <v>42.9</v>
      </c>
      <c r="H11" s="26">
        <f>97/39</f>
        <v>2.4871794871794872</v>
      </c>
      <c r="I11" s="6">
        <f>278/39</f>
        <v>7.1282051282051286</v>
      </c>
      <c r="J11" s="166">
        <v>34.9</v>
      </c>
      <c r="K11" s="26">
        <f>99/39</f>
        <v>2.5384615384615383</v>
      </c>
      <c r="L11" s="6">
        <f>134/39</f>
        <v>3.4358974358974357</v>
      </c>
      <c r="M11" s="175">
        <v>73.900000000000006</v>
      </c>
      <c r="N11" s="30">
        <v>3</v>
      </c>
      <c r="O11" s="7">
        <v>0.7</v>
      </c>
      <c r="P11" s="36">
        <v>3.7</v>
      </c>
      <c r="Q11" s="20">
        <v>2.5</v>
      </c>
      <c r="R11" s="57">
        <v>0.1</v>
      </c>
      <c r="S11" s="49">
        <v>1.8</v>
      </c>
      <c r="T11" s="52">
        <v>0.8</v>
      </c>
      <c r="U11" s="43">
        <v>1.9</v>
      </c>
      <c r="V11" s="59" t="s">
        <v>28</v>
      </c>
      <c r="W11" s="63" t="s">
        <v>38</v>
      </c>
      <c r="X11" s="159">
        <v>11.8</v>
      </c>
      <c r="AW11"/>
      <c r="AX11"/>
      <c r="AY11"/>
      <c r="AZ11"/>
      <c r="BA11"/>
    </row>
    <row r="12" spans="1:53" s="2" customFormat="1" ht="18.75" customHeight="1">
      <c r="A12" s="127" t="s">
        <v>39</v>
      </c>
      <c r="B12" s="22" t="s">
        <v>27</v>
      </c>
      <c r="C12" s="19">
        <v>32</v>
      </c>
      <c r="D12" s="150">
        <v>13.1</v>
      </c>
      <c r="E12" s="25">
        <f>57/32</f>
        <v>1.78125</v>
      </c>
      <c r="F12" s="12">
        <f>126/32</f>
        <v>3.9375</v>
      </c>
      <c r="G12" s="165">
        <v>45.2</v>
      </c>
      <c r="H12" s="25">
        <f>83/32</f>
        <v>2.59375</v>
      </c>
      <c r="I12" s="12">
        <f>214/32</f>
        <v>6.6875</v>
      </c>
      <c r="J12" s="165">
        <v>38.799999999999997</v>
      </c>
      <c r="K12" s="25">
        <f>56/32</f>
        <v>1.75</v>
      </c>
      <c r="L12" s="12">
        <f>88/32</f>
        <v>2.75</v>
      </c>
      <c r="M12" s="176">
        <v>63.6</v>
      </c>
      <c r="N12" s="29">
        <v>2</v>
      </c>
      <c r="O12" s="11">
        <v>0.3</v>
      </c>
      <c r="P12" s="35">
        <v>2.2999999999999998</v>
      </c>
      <c r="Q12" s="19">
        <v>3.7</v>
      </c>
      <c r="R12" s="56">
        <v>0</v>
      </c>
      <c r="S12" s="47">
        <v>1.9</v>
      </c>
      <c r="T12" s="51">
        <v>1.2</v>
      </c>
      <c r="U12" s="42">
        <v>1.7</v>
      </c>
      <c r="V12" s="58" t="s">
        <v>28</v>
      </c>
      <c r="W12" s="61" t="s">
        <v>40</v>
      </c>
      <c r="X12" s="157">
        <v>11.6</v>
      </c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</row>
    <row r="13" spans="1:53" s="2" customFormat="1" ht="18.75" customHeight="1">
      <c r="A13" s="94" t="s">
        <v>41</v>
      </c>
      <c r="B13" s="23" t="s">
        <v>27</v>
      </c>
      <c r="C13" s="20">
        <v>34</v>
      </c>
      <c r="D13" s="152">
        <v>7.7</v>
      </c>
      <c r="E13" s="26">
        <f>66/34</f>
        <v>1.9411764705882353</v>
      </c>
      <c r="F13" s="6">
        <f>121/34</f>
        <v>3.5588235294117645</v>
      </c>
      <c r="G13" s="166">
        <v>54.5</v>
      </c>
      <c r="H13" s="26">
        <f>25/34</f>
        <v>0.73529411764705888</v>
      </c>
      <c r="I13" s="6">
        <f>75/34</f>
        <v>2.2058823529411766</v>
      </c>
      <c r="J13" s="166">
        <v>33.299999999999997</v>
      </c>
      <c r="K13" s="26">
        <f>54/34</f>
        <v>1.588235294117647</v>
      </c>
      <c r="L13" s="6">
        <f>88/34</f>
        <v>2.5882352941176472</v>
      </c>
      <c r="M13" s="175">
        <v>61.4</v>
      </c>
      <c r="N13" s="43">
        <v>3.9</v>
      </c>
      <c r="O13" s="7">
        <v>0.8</v>
      </c>
      <c r="P13" s="36">
        <v>4.7</v>
      </c>
      <c r="Q13" s="20">
        <v>3.4</v>
      </c>
      <c r="R13" s="57">
        <v>0.3</v>
      </c>
      <c r="S13" s="49">
        <v>1.4</v>
      </c>
      <c r="T13" s="52">
        <v>1.2</v>
      </c>
      <c r="U13" s="43">
        <v>2.6</v>
      </c>
      <c r="V13" s="59" t="s">
        <v>28</v>
      </c>
      <c r="W13" s="63" t="s">
        <v>42</v>
      </c>
      <c r="X13" s="159">
        <v>11.5</v>
      </c>
      <c r="AW13"/>
      <c r="AX13"/>
      <c r="AY13"/>
      <c r="AZ13"/>
      <c r="BA13"/>
    </row>
    <row r="14" spans="1:53" s="2" customFormat="1" ht="18.75" customHeight="1">
      <c r="A14" s="127" t="s">
        <v>43</v>
      </c>
      <c r="B14" s="22" t="s">
        <v>33</v>
      </c>
      <c r="C14" s="19">
        <v>4</v>
      </c>
      <c r="D14" s="153">
        <v>6</v>
      </c>
      <c r="E14" s="25">
        <f>10/4</f>
        <v>2.5</v>
      </c>
      <c r="F14" s="12">
        <f>16/4</f>
        <v>4</v>
      </c>
      <c r="G14" s="165">
        <v>62.5</v>
      </c>
      <c r="H14" s="31">
        <v>0</v>
      </c>
      <c r="I14" s="12">
        <f>1/4</f>
        <v>0.25</v>
      </c>
      <c r="J14" s="165">
        <v>0</v>
      </c>
      <c r="K14" s="25">
        <v>1</v>
      </c>
      <c r="L14" s="12">
        <f>11/4</f>
        <v>2.75</v>
      </c>
      <c r="M14" s="176">
        <v>36.4</v>
      </c>
      <c r="N14" s="42">
        <v>3.8</v>
      </c>
      <c r="O14" s="11">
        <v>1.3</v>
      </c>
      <c r="P14" s="40">
        <v>5</v>
      </c>
      <c r="Q14" s="19">
        <v>0.8</v>
      </c>
      <c r="R14" s="56">
        <v>2.2999999999999998</v>
      </c>
      <c r="S14" s="25">
        <v>1</v>
      </c>
      <c r="T14" s="51">
        <v>0.5</v>
      </c>
      <c r="U14" s="42">
        <v>3.3</v>
      </c>
      <c r="V14" s="58" t="s">
        <v>28</v>
      </c>
      <c r="W14" s="61" t="s">
        <v>44</v>
      </c>
      <c r="X14" s="157">
        <v>9.3000000000000007</v>
      </c>
      <c r="AW14"/>
      <c r="AX14"/>
      <c r="AY14"/>
      <c r="AZ14"/>
      <c r="BA14"/>
    </row>
    <row r="15" spans="1:53" s="2" customFormat="1" ht="18.75" customHeight="1">
      <c r="A15" s="94" t="s">
        <v>45</v>
      </c>
      <c r="B15" s="23" t="s">
        <v>27</v>
      </c>
      <c r="C15" s="20">
        <v>35</v>
      </c>
      <c r="D15" s="152">
        <v>3.6</v>
      </c>
      <c r="E15" s="26">
        <f>54/35</f>
        <v>1.5428571428571429</v>
      </c>
      <c r="F15" s="6">
        <f>141/35</f>
        <v>4.0285714285714285</v>
      </c>
      <c r="G15" s="166">
        <v>38.299999999999997</v>
      </c>
      <c r="H15" s="32">
        <v>0</v>
      </c>
      <c r="I15" s="6">
        <f>6/35</f>
        <v>0.17142857142857143</v>
      </c>
      <c r="J15" s="166">
        <v>0</v>
      </c>
      <c r="K15" s="26">
        <f>18/35</f>
        <v>0.51428571428571423</v>
      </c>
      <c r="L15" s="6">
        <f>28/35</f>
        <v>0.8</v>
      </c>
      <c r="M15" s="175">
        <v>64.3</v>
      </c>
      <c r="N15" s="43">
        <v>5.0999999999999996</v>
      </c>
      <c r="O15" s="7">
        <v>3.8</v>
      </c>
      <c r="P15" s="36">
        <v>8.9</v>
      </c>
      <c r="Q15" s="20">
        <v>0.7</v>
      </c>
      <c r="R15" s="57">
        <v>0.7</v>
      </c>
      <c r="S15" s="49">
        <v>1.1000000000000001</v>
      </c>
      <c r="T15" s="52">
        <v>1.1000000000000001</v>
      </c>
      <c r="U15" s="43">
        <v>3.1</v>
      </c>
      <c r="V15" s="59" t="s">
        <v>28</v>
      </c>
      <c r="W15" s="63" t="s">
        <v>46</v>
      </c>
      <c r="X15" s="159">
        <v>9.1</v>
      </c>
      <c r="AW15"/>
      <c r="AX15"/>
      <c r="AY15"/>
      <c r="AZ15"/>
      <c r="BA15"/>
    </row>
    <row r="16" spans="1:53" s="2" customFormat="1" ht="18.75" customHeight="1">
      <c r="A16" s="127" t="s">
        <v>47</v>
      </c>
      <c r="B16" s="22" t="s">
        <v>27</v>
      </c>
      <c r="C16" s="19">
        <v>36</v>
      </c>
      <c r="D16" s="150">
        <v>8.4</v>
      </c>
      <c r="E16" s="25">
        <f>58/36</f>
        <v>1.6111111111111112</v>
      </c>
      <c r="F16" s="12">
        <f>107/36</f>
        <v>2.9722222222222223</v>
      </c>
      <c r="G16" s="165">
        <v>54.2</v>
      </c>
      <c r="H16" s="25">
        <f>41/36</f>
        <v>1.1388888888888888</v>
      </c>
      <c r="I16" s="12">
        <f>143/36</f>
        <v>3.9722222222222223</v>
      </c>
      <c r="J16" s="165">
        <v>28.7</v>
      </c>
      <c r="K16" s="25">
        <f>62/36</f>
        <v>1.7222222222222223</v>
      </c>
      <c r="L16" s="12">
        <f>78/36</f>
        <v>2.1666666666666665</v>
      </c>
      <c r="M16" s="176">
        <v>79.5</v>
      </c>
      <c r="N16" s="42">
        <v>1.7</v>
      </c>
      <c r="O16" s="11">
        <v>0.5</v>
      </c>
      <c r="P16" s="35">
        <v>2.2000000000000002</v>
      </c>
      <c r="Q16" s="19">
        <v>2.1</v>
      </c>
      <c r="R16" s="56">
        <v>0</v>
      </c>
      <c r="S16" s="47">
        <v>1.6</v>
      </c>
      <c r="T16" s="51">
        <v>1.1000000000000001</v>
      </c>
      <c r="U16" s="42">
        <v>2.2999999999999998</v>
      </c>
      <c r="V16" s="58" t="s">
        <v>28</v>
      </c>
      <c r="W16" s="64" t="s">
        <v>42</v>
      </c>
      <c r="X16" s="157">
        <v>7.1</v>
      </c>
      <c r="AW16"/>
      <c r="AX16"/>
      <c r="AY16"/>
      <c r="AZ16"/>
      <c r="BA16"/>
    </row>
    <row r="17" spans="1:53" s="2" customFormat="1" ht="18.75" customHeight="1">
      <c r="A17" s="94" t="s">
        <v>48</v>
      </c>
      <c r="B17" s="23" t="s">
        <v>27</v>
      </c>
      <c r="C17" s="20">
        <v>29</v>
      </c>
      <c r="D17" s="152">
        <v>7.1</v>
      </c>
      <c r="E17" s="26">
        <f>57/29</f>
        <v>1.9655172413793103</v>
      </c>
      <c r="F17" s="6">
        <f>117/29</f>
        <v>4.0344827586206895</v>
      </c>
      <c r="G17" s="166">
        <v>48.7</v>
      </c>
      <c r="H17" s="26">
        <f>22/29</f>
        <v>0.75862068965517238</v>
      </c>
      <c r="I17" s="6">
        <f>68/29</f>
        <v>2.3448275862068964</v>
      </c>
      <c r="J17" s="166">
        <v>32.4</v>
      </c>
      <c r="K17" s="26">
        <f>26/29</f>
        <v>0.89655172413793105</v>
      </c>
      <c r="L17" s="6">
        <f>52/29</f>
        <v>1.7931034482758621</v>
      </c>
      <c r="M17" s="177">
        <v>50</v>
      </c>
      <c r="N17" s="43">
        <v>2.4</v>
      </c>
      <c r="O17" s="7">
        <v>0.7</v>
      </c>
      <c r="P17" s="36">
        <v>3.2</v>
      </c>
      <c r="Q17" s="20">
        <v>1.8</v>
      </c>
      <c r="R17" s="57">
        <v>0.2</v>
      </c>
      <c r="S17" s="49">
        <v>1.4</v>
      </c>
      <c r="T17" s="52">
        <v>0.7</v>
      </c>
      <c r="U17" s="43">
        <v>1.8</v>
      </c>
      <c r="V17" s="59" t="s">
        <v>28</v>
      </c>
      <c r="W17" s="62" t="s">
        <v>49</v>
      </c>
      <c r="X17" s="159">
        <v>6.3</v>
      </c>
      <c r="AW17"/>
      <c r="AX17"/>
      <c r="AY17"/>
      <c r="AZ17"/>
      <c r="BA17"/>
    </row>
    <row r="18" spans="1:53" s="2" customFormat="1" ht="18.75" customHeight="1">
      <c r="A18" s="127" t="s">
        <v>50</v>
      </c>
      <c r="B18" s="22" t="s">
        <v>27</v>
      </c>
      <c r="C18" s="19">
        <v>20</v>
      </c>
      <c r="D18" s="150">
        <v>2.9</v>
      </c>
      <c r="E18" s="25">
        <f>27/20</f>
        <v>1.35</v>
      </c>
      <c r="F18" s="12">
        <f>62/20</f>
        <v>3.1</v>
      </c>
      <c r="G18" s="165">
        <v>43.5</v>
      </c>
      <c r="H18" s="31">
        <v>0</v>
      </c>
      <c r="I18" s="12">
        <f>1/20</f>
        <v>0.05</v>
      </c>
      <c r="J18" s="165">
        <v>0</v>
      </c>
      <c r="K18" s="25">
        <f>3/20</f>
        <v>0.15</v>
      </c>
      <c r="L18" s="12">
        <f>7/20</f>
        <v>0.35</v>
      </c>
      <c r="M18" s="176">
        <v>42.9</v>
      </c>
      <c r="N18" s="42">
        <v>1.5</v>
      </c>
      <c r="O18" s="11">
        <v>0.9</v>
      </c>
      <c r="P18" s="35">
        <v>2.4</v>
      </c>
      <c r="Q18" s="19">
        <v>0.4</v>
      </c>
      <c r="R18" s="56">
        <v>0.1</v>
      </c>
      <c r="S18" s="47">
        <v>0.6</v>
      </c>
      <c r="T18" s="51">
        <v>0.4</v>
      </c>
      <c r="U18" s="42">
        <v>1.3</v>
      </c>
      <c r="V18" s="58" t="s">
        <v>28</v>
      </c>
      <c r="W18" s="61" t="s">
        <v>51</v>
      </c>
      <c r="X18" s="157">
        <v>2.2999999999999998</v>
      </c>
      <c r="AW18"/>
      <c r="AX18"/>
      <c r="AY18"/>
      <c r="AZ18"/>
      <c r="BA18"/>
    </row>
    <row r="19" spans="1:53" s="2" customFormat="1" ht="18.75" customHeight="1">
      <c r="A19" s="94" t="s">
        <v>52</v>
      </c>
      <c r="B19" s="23" t="s">
        <v>27</v>
      </c>
      <c r="C19" s="20">
        <v>24</v>
      </c>
      <c r="D19" s="152">
        <v>2.6</v>
      </c>
      <c r="E19" s="26">
        <f>13/24</f>
        <v>0.54166666666666663</v>
      </c>
      <c r="F19" s="6">
        <f>20/24</f>
        <v>0.83333333333333337</v>
      </c>
      <c r="G19" s="167">
        <v>65</v>
      </c>
      <c r="H19" s="26">
        <f>11/24</f>
        <v>0.45833333333333331</v>
      </c>
      <c r="I19" s="6">
        <f>39/24</f>
        <v>1.625</v>
      </c>
      <c r="J19" s="166">
        <v>28.2</v>
      </c>
      <c r="K19" s="26">
        <f>3/24</f>
        <v>0.125</v>
      </c>
      <c r="L19" s="6">
        <f>7/24</f>
        <v>0.29166666666666669</v>
      </c>
      <c r="M19" s="175">
        <v>42.9</v>
      </c>
      <c r="N19" s="43">
        <v>1.1000000000000001</v>
      </c>
      <c r="O19" s="7">
        <v>0.3</v>
      </c>
      <c r="P19" s="36">
        <v>1.4</v>
      </c>
      <c r="Q19" s="20">
        <v>0.5</v>
      </c>
      <c r="R19" s="57">
        <v>0</v>
      </c>
      <c r="S19" s="49">
        <v>0.3</v>
      </c>
      <c r="T19" s="52">
        <v>0.3</v>
      </c>
      <c r="U19" s="43">
        <v>0.8</v>
      </c>
      <c r="V19" s="59" t="s">
        <v>28</v>
      </c>
      <c r="W19" s="62" t="s">
        <v>53</v>
      </c>
      <c r="X19" s="159">
        <v>2.2000000000000002</v>
      </c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</row>
    <row r="20" spans="1:53" s="2" customFormat="1" ht="18.75" customHeight="1">
      <c r="A20" s="127" t="s">
        <v>54</v>
      </c>
      <c r="B20" s="22" t="s">
        <v>27</v>
      </c>
      <c r="C20" s="19">
        <v>29</v>
      </c>
      <c r="D20" s="150">
        <v>2.1</v>
      </c>
      <c r="E20" s="25">
        <f>25/29</f>
        <v>0.86206896551724133</v>
      </c>
      <c r="F20" s="12">
        <f>59/29</f>
        <v>2.0344827586206895</v>
      </c>
      <c r="G20" s="165">
        <v>42.4</v>
      </c>
      <c r="H20" s="31">
        <v>0</v>
      </c>
      <c r="I20" s="14">
        <v>0</v>
      </c>
      <c r="J20" s="165">
        <v>0</v>
      </c>
      <c r="K20" s="25">
        <f>12/29</f>
        <v>0.41379310344827586</v>
      </c>
      <c r="L20" s="12">
        <f>38/29</f>
        <v>1.3103448275862069</v>
      </c>
      <c r="M20" s="176">
        <v>31.6</v>
      </c>
      <c r="N20" s="42">
        <v>1.4</v>
      </c>
      <c r="O20" s="11">
        <v>0.8</v>
      </c>
      <c r="P20" s="35">
        <v>2.1</v>
      </c>
      <c r="Q20" s="19">
        <v>0.2</v>
      </c>
      <c r="R20" s="56">
        <v>0.6</v>
      </c>
      <c r="S20" s="47">
        <v>0.6</v>
      </c>
      <c r="T20" s="51">
        <v>0.1</v>
      </c>
      <c r="U20" s="42">
        <v>1.6</v>
      </c>
      <c r="V20" s="58" t="s">
        <v>28</v>
      </c>
      <c r="W20" s="61" t="s">
        <v>55</v>
      </c>
      <c r="X20" s="157">
        <v>1.7</v>
      </c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</row>
    <row r="21" spans="1:53" s="2" customFormat="1" ht="18.75" customHeight="1">
      <c r="A21" s="94" t="s">
        <v>56</v>
      </c>
      <c r="B21" s="23" t="s">
        <v>27</v>
      </c>
      <c r="C21" s="20">
        <v>25</v>
      </c>
      <c r="D21" s="152">
        <v>1.8</v>
      </c>
      <c r="E21" s="26">
        <f>7/16</f>
        <v>0.4375</v>
      </c>
      <c r="F21" s="6">
        <f>16/25</f>
        <v>0.64</v>
      </c>
      <c r="G21" s="166">
        <v>43.8</v>
      </c>
      <c r="H21" s="26">
        <f>8/25</f>
        <v>0.32</v>
      </c>
      <c r="I21" s="6">
        <f>37/25</f>
        <v>1.48</v>
      </c>
      <c r="J21" s="166">
        <v>21.6</v>
      </c>
      <c r="K21" s="26">
        <f>7/25</f>
        <v>0.28000000000000003</v>
      </c>
      <c r="L21" s="6">
        <f>8/25</f>
        <v>0.32</v>
      </c>
      <c r="M21" s="175">
        <v>87.5</v>
      </c>
      <c r="N21" s="43">
        <v>0.7</v>
      </c>
      <c r="O21" s="7">
        <v>0.2</v>
      </c>
      <c r="P21" s="36">
        <v>0.9</v>
      </c>
      <c r="Q21" s="20">
        <v>0.3</v>
      </c>
      <c r="R21" s="57">
        <v>0</v>
      </c>
      <c r="S21" s="49">
        <v>0.3</v>
      </c>
      <c r="T21" s="52">
        <v>0.2</v>
      </c>
      <c r="U21" s="43">
        <v>1.1000000000000001</v>
      </c>
      <c r="V21" s="59" t="s">
        <v>28</v>
      </c>
      <c r="W21" s="62" t="s">
        <v>57</v>
      </c>
      <c r="X21" s="159">
        <v>0.4</v>
      </c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</row>
    <row r="22" spans="1:53" s="2" customFormat="1" ht="18.75" customHeight="1">
      <c r="A22" s="128" t="s">
        <v>58</v>
      </c>
      <c r="B22" s="66" t="s">
        <v>59</v>
      </c>
      <c r="C22" s="67">
        <v>8</v>
      </c>
      <c r="D22" s="154">
        <v>1.1000000000000001</v>
      </c>
      <c r="E22" s="68">
        <f>1/8</f>
        <v>0.125</v>
      </c>
      <c r="F22" s="69">
        <f>7/8</f>
        <v>0.875</v>
      </c>
      <c r="G22" s="168">
        <v>14.3</v>
      </c>
      <c r="H22" s="68">
        <f>2/8</f>
        <v>0.25</v>
      </c>
      <c r="I22" s="69">
        <f>5/8</f>
        <v>0.625</v>
      </c>
      <c r="J22" s="171">
        <v>40</v>
      </c>
      <c r="K22" s="68">
        <f>1/8</f>
        <v>0.125</v>
      </c>
      <c r="L22" s="69">
        <v>0.5</v>
      </c>
      <c r="M22" s="178">
        <v>25</v>
      </c>
      <c r="N22" s="71">
        <v>0.3</v>
      </c>
      <c r="O22" s="72">
        <v>0.1</v>
      </c>
      <c r="P22" s="70">
        <v>0.4</v>
      </c>
      <c r="Q22" s="67">
        <v>0</v>
      </c>
      <c r="R22" s="73">
        <v>0</v>
      </c>
      <c r="S22" s="74">
        <v>0.3</v>
      </c>
      <c r="T22" s="75">
        <v>0.3</v>
      </c>
      <c r="U22" s="71">
        <v>0.4</v>
      </c>
      <c r="V22" s="76" t="s">
        <v>28</v>
      </c>
      <c r="W22" s="77" t="s">
        <v>60</v>
      </c>
      <c r="X22" s="160">
        <v>0</v>
      </c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</row>
    <row r="23" spans="1:53" s="2" customFormat="1" ht="18.75" customHeight="1">
      <c r="A23" s="448" t="s">
        <v>61</v>
      </c>
      <c r="B23" s="449"/>
      <c r="C23" s="78">
        <v>39</v>
      </c>
      <c r="D23" s="155">
        <v>80.400000000000006</v>
      </c>
      <c r="E23" s="80">
        <v>20.7</v>
      </c>
      <c r="F23" s="81">
        <v>40.799999999999997</v>
      </c>
      <c r="G23" s="169">
        <v>50.6</v>
      </c>
      <c r="H23" s="80">
        <v>9</v>
      </c>
      <c r="I23" s="81">
        <v>27.8</v>
      </c>
      <c r="J23" s="169">
        <v>32.299999999999997</v>
      </c>
      <c r="K23" s="80">
        <v>12.1</v>
      </c>
      <c r="L23" s="81">
        <v>20.100000000000001</v>
      </c>
      <c r="M23" s="179">
        <v>60.3</v>
      </c>
      <c r="N23" s="84">
        <v>27.4</v>
      </c>
      <c r="O23" s="85">
        <v>12.4</v>
      </c>
      <c r="P23" s="86">
        <v>39.700000000000003</v>
      </c>
      <c r="Q23" s="87">
        <v>17.8</v>
      </c>
      <c r="R23" s="88">
        <v>2.5</v>
      </c>
      <c r="S23" s="89">
        <v>12.8</v>
      </c>
      <c r="T23" s="90">
        <v>8.1999999999999993</v>
      </c>
      <c r="U23" s="84">
        <v>19.5</v>
      </c>
      <c r="V23" s="91"/>
      <c r="W23" s="124"/>
      <c r="X23" s="161">
        <v>85.9</v>
      </c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</row>
    <row r="24" spans="1:53" s="2" customFormat="1" ht="18.75" customHeight="1">
      <c r="A24" s="440" t="s">
        <v>62</v>
      </c>
      <c r="B24" s="441"/>
      <c r="C24" s="162">
        <v>39</v>
      </c>
      <c r="D24" s="163">
        <v>74.400000000000006</v>
      </c>
      <c r="E24" s="446"/>
      <c r="F24" s="447"/>
      <c r="G24" s="170">
        <v>51.1</v>
      </c>
      <c r="H24" s="445"/>
      <c r="I24" s="443"/>
      <c r="J24" s="172">
        <v>27</v>
      </c>
      <c r="K24" s="442"/>
      <c r="L24" s="443"/>
      <c r="M24" s="443"/>
      <c r="N24" s="443"/>
      <c r="O24" s="443"/>
      <c r="P24" s="443"/>
      <c r="Q24" s="443"/>
      <c r="R24" s="443"/>
      <c r="S24" s="443"/>
      <c r="T24" s="443"/>
      <c r="U24" s="443"/>
      <c r="V24" s="443"/>
      <c r="W24" s="443"/>
      <c r="X24" s="44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</row>
    <row r="25" spans="1:53" s="2" customFormat="1" ht="18.75" customHeight="1">
      <c r="A25" s="436" t="s">
        <v>63</v>
      </c>
      <c r="B25" s="437"/>
      <c r="C25" s="437"/>
      <c r="D25" s="437"/>
      <c r="E25" s="437"/>
      <c r="F25" s="437"/>
      <c r="G25" s="437"/>
      <c r="H25" s="437"/>
      <c r="I25" s="437"/>
      <c r="J25" s="437"/>
      <c r="K25" s="437"/>
      <c r="L25" s="437"/>
      <c r="M25" s="437"/>
      <c r="N25" s="437"/>
      <c r="O25" s="437"/>
      <c r="P25" s="437"/>
      <c r="Q25" s="437"/>
      <c r="R25" s="437"/>
      <c r="S25" s="437"/>
      <c r="T25" s="437"/>
      <c r="U25" s="437"/>
      <c r="V25" s="437"/>
      <c r="W25" s="437"/>
      <c r="X25" s="437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</row>
    <row r="26" spans="1:53" s="2" customFormat="1" ht="18.75" customHeight="1">
      <c r="A26" s="432" t="s">
        <v>64</v>
      </c>
      <c r="B26" s="432"/>
      <c r="C26" s="432"/>
      <c r="D26" s="432"/>
      <c r="E26" s="432"/>
      <c r="F26" s="432"/>
      <c r="G26" s="432"/>
      <c r="H26" s="432"/>
      <c r="I26" s="432"/>
      <c r="J26" s="432"/>
      <c r="K26" s="432"/>
      <c r="L26" s="432"/>
      <c r="M26" s="432"/>
      <c r="N26" s="432"/>
      <c r="O26" s="432"/>
      <c r="P26" s="432"/>
      <c r="Q26" s="432"/>
      <c r="R26" s="432"/>
      <c r="S26" s="432"/>
      <c r="T26" s="432"/>
      <c r="U26" s="432"/>
      <c r="V26" s="432"/>
      <c r="W26" s="432"/>
      <c r="X26" s="432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</row>
    <row r="27" spans="1:53" s="2" customFormat="1" ht="18.75" customHeight="1">
      <c r="A27" s="433" t="s">
        <v>65</v>
      </c>
      <c r="B27" s="433"/>
      <c r="C27" s="433"/>
      <c r="D27" s="433"/>
      <c r="E27" s="433"/>
      <c r="F27" s="433"/>
      <c r="G27" s="433"/>
      <c r="H27" s="433"/>
      <c r="I27" s="433"/>
      <c r="J27" s="433"/>
      <c r="K27" s="433"/>
      <c r="L27" s="433"/>
      <c r="M27" s="433"/>
      <c r="N27" s="433"/>
      <c r="O27" s="433"/>
      <c r="P27" s="433"/>
      <c r="Q27" s="433"/>
      <c r="R27" s="433"/>
      <c r="S27" s="433"/>
      <c r="T27" s="433"/>
      <c r="U27" s="433"/>
      <c r="V27" s="433"/>
      <c r="W27" s="433"/>
      <c r="X27" s="433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</row>
    <row r="28" spans="1:53" ht="21" customHeight="1"/>
    <row r="29" spans="1:53" ht="21" customHeight="1"/>
    <row r="30" spans="1:53" ht="21" customHeight="1"/>
    <row r="31" spans="1:53" ht="21" customHeight="1"/>
    <row r="34" ht="21" customHeight="1"/>
  </sheetData>
  <mergeCells count="26">
    <mergeCell ref="A26:X26"/>
    <mergeCell ref="A27:X27"/>
    <mergeCell ref="H5:J5"/>
    <mergeCell ref="A25:X25"/>
    <mergeCell ref="K5:M5"/>
    <mergeCell ref="Q5:Q6"/>
    <mergeCell ref="R5:R6"/>
    <mergeCell ref="N5:P5"/>
    <mergeCell ref="E5:G5"/>
    <mergeCell ref="A24:B24"/>
    <mergeCell ref="K24:X24"/>
    <mergeCell ref="H24:I24"/>
    <mergeCell ref="E24:F24"/>
    <mergeCell ref="A23:B23"/>
    <mergeCell ref="A1:A4"/>
    <mergeCell ref="T1:X4"/>
    <mergeCell ref="A5:A6"/>
    <mergeCell ref="C5:C6"/>
    <mergeCell ref="D5:D6"/>
    <mergeCell ref="X5:X6"/>
    <mergeCell ref="B1:S2"/>
    <mergeCell ref="B3:S4"/>
    <mergeCell ref="W5:W6"/>
    <mergeCell ref="S5:T5"/>
    <mergeCell ref="U5:V5"/>
    <mergeCell ref="B5:B6"/>
  </mergeCells>
  <phoneticPr fontId="10" type="noConversion"/>
  <pageMargins left="0.25" right="0.25" top="0.75" bottom="0.75" header="0.3" footer="0.3"/>
  <pageSetup paperSize="5" orientation="landscape" horizontalDpi="90" verticalDpi="9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-0.499984740745262"/>
  </sheetPr>
  <dimension ref="A1:AK28"/>
  <sheetViews>
    <sheetView zoomScale="106" zoomScaleNormal="106" workbookViewId="0">
      <selection activeCell="B1" sqref="B1:S2"/>
    </sheetView>
  </sheetViews>
  <sheetFormatPr defaultColWidth="9.140625" defaultRowHeight="15"/>
  <cols>
    <col min="1" max="1" width="25.140625" customWidth="1"/>
    <col min="2" max="2" width="6.7109375" customWidth="1"/>
    <col min="3" max="3" width="5.7109375" style="1" customWidth="1"/>
    <col min="4" max="5" width="6.140625" style="1" customWidth="1"/>
    <col min="6" max="16" width="5.7109375" style="1" customWidth="1"/>
    <col min="17" max="17" width="5.5703125" style="1" customWidth="1"/>
    <col min="18" max="23" width="5.7109375" style="1" customWidth="1"/>
    <col min="24" max="24" width="7.5703125" style="1" customWidth="1"/>
    <col min="25" max="255" width="11.42578125" customWidth="1"/>
  </cols>
  <sheetData>
    <row r="1" spans="1:26" ht="14.25" customHeight="1">
      <c r="A1" s="451"/>
      <c r="B1" s="421" t="s">
        <v>66</v>
      </c>
      <c r="C1" s="421"/>
      <c r="D1" s="421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1"/>
      <c r="Q1" s="421"/>
      <c r="R1" s="421"/>
      <c r="S1" s="421"/>
      <c r="T1" s="409"/>
      <c r="U1" s="409"/>
      <c r="V1" s="409"/>
      <c r="W1" s="409"/>
      <c r="X1" s="410"/>
    </row>
    <row r="2" spans="1:26" ht="14.25" customHeight="1">
      <c r="A2" s="452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11"/>
      <c r="U2" s="411"/>
      <c r="V2" s="411"/>
      <c r="W2" s="411"/>
      <c r="X2" s="412"/>
    </row>
    <row r="3" spans="1:26" ht="15" customHeight="1">
      <c r="A3" s="452"/>
      <c r="B3" s="450" t="s">
        <v>67</v>
      </c>
      <c r="C3" s="450"/>
      <c r="D3" s="450"/>
      <c r="E3" s="450"/>
      <c r="F3" s="450"/>
      <c r="G3" s="450"/>
      <c r="H3" s="450"/>
      <c r="I3" s="450"/>
      <c r="J3" s="450"/>
      <c r="K3" s="450"/>
      <c r="L3" s="450"/>
      <c r="M3" s="450"/>
      <c r="N3" s="450"/>
      <c r="O3" s="450"/>
      <c r="P3" s="450"/>
      <c r="Q3" s="450"/>
      <c r="R3" s="450"/>
      <c r="S3" s="450"/>
      <c r="T3" s="411"/>
      <c r="U3" s="411"/>
      <c r="V3" s="411"/>
      <c r="W3" s="411"/>
      <c r="X3" s="412"/>
    </row>
    <row r="4" spans="1:26" ht="12" customHeight="1">
      <c r="A4" s="452"/>
      <c r="B4" s="450"/>
      <c r="C4" s="450"/>
      <c r="D4" s="450"/>
      <c r="E4" s="450"/>
      <c r="F4" s="450"/>
      <c r="G4" s="450"/>
      <c r="H4" s="450"/>
      <c r="I4" s="450"/>
      <c r="J4" s="450"/>
      <c r="K4" s="450"/>
      <c r="L4" s="450"/>
      <c r="M4" s="450"/>
      <c r="N4" s="450"/>
      <c r="O4" s="450"/>
      <c r="P4" s="450"/>
      <c r="Q4" s="450"/>
      <c r="R4" s="450"/>
      <c r="S4" s="450"/>
      <c r="T4" s="411"/>
      <c r="U4" s="411"/>
      <c r="V4" s="411"/>
      <c r="W4" s="411"/>
      <c r="X4" s="412"/>
    </row>
    <row r="5" spans="1:26" ht="15" customHeight="1">
      <c r="A5" s="413" t="s">
        <v>2</v>
      </c>
      <c r="B5" s="430" t="s">
        <v>3</v>
      </c>
      <c r="C5" s="415" t="s">
        <v>4</v>
      </c>
      <c r="D5" s="417" t="s">
        <v>5</v>
      </c>
      <c r="E5" s="426" t="s">
        <v>6</v>
      </c>
      <c r="F5" s="435"/>
      <c r="G5" s="430"/>
      <c r="H5" s="434" t="s">
        <v>7</v>
      </c>
      <c r="I5" s="435"/>
      <c r="J5" s="427"/>
      <c r="K5" s="426" t="s">
        <v>8</v>
      </c>
      <c r="L5" s="435"/>
      <c r="M5" s="427"/>
      <c r="N5" s="428" t="s">
        <v>9</v>
      </c>
      <c r="O5" s="439"/>
      <c r="P5" s="429"/>
      <c r="Q5" s="419" t="s">
        <v>10</v>
      </c>
      <c r="R5" s="415" t="s">
        <v>11</v>
      </c>
      <c r="S5" s="426" t="s">
        <v>12</v>
      </c>
      <c r="T5" s="427"/>
      <c r="U5" s="428" t="s">
        <v>13</v>
      </c>
      <c r="V5" s="429"/>
      <c r="W5" s="424" t="s">
        <v>14</v>
      </c>
      <c r="X5" s="419" t="s">
        <v>15</v>
      </c>
    </row>
    <row r="6" spans="1:26" ht="15" customHeight="1">
      <c r="A6" s="414"/>
      <c r="B6" s="431"/>
      <c r="C6" s="416"/>
      <c r="D6" s="418"/>
      <c r="E6" s="133" t="s">
        <v>16</v>
      </c>
      <c r="F6" s="134" t="s">
        <v>17</v>
      </c>
      <c r="G6" s="132" t="s">
        <v>18</v>
      </c>
      <c r="H6" s="135" t="s">
        <v>16</v>
      </c>
      <c r="I6" s="134" t="s">
        <v>17</v>
      </c>
      <c r="J6" s="136" t="s">
        <v>18</v>
      </c>
      <c r="K6" s="133" t="s">
        <v>16</v>
      </c>
      <c r="L6" s="134" t="s">
        <v>17</v>
      </c>
      <c r="M6" s="132" t="s">
        <v>18</v>
      </c>
      <c r="N6" s="140" t="s">
        <v>19</v>
      </c>
      <c r="O6" s="141" t="s">
        <v>20</v>
      </c>
      <c r="P6" s="142" t="s">
        <v>21</v>
      </c>
      <c r="Q6" s="438"/>
      <c r="R6" s="416"/>
      <c r="S6" s="133" t="s">
        <v>22</v>
      </c>
      <c r="T6" s="132" t="s">
        <v>23</v>
      </c>
      <c r="U6" s="140" t="s">
        <v>24</v>
      </c>
      <c r="V6" s="142" t="s">
        <v>25</v>
      </c>
      <c r="W6" s="425"/>
      <c r="X6" s="420"/>
    </row>
    <row r="7" spans="1:26" s="2" customFormat="1" ht="18.75" customHeight="1">
      <c r="A7" s="93" t="s">
        <v>68</v>
      </c>
      <c r="B7" s="21" t="s">
        <v>33</v>
      </c>
      <c r="C7" s="18">
        <v>26</v>
      </c>
      <c r="D7" s="149">
        <v>17.3</v>
      </c>
      <c r="E7" s="24">
        <f>145/26</f>
        <v>5.5769230769230766</v>
      </c>
      <c r="F7" s="17">
        <f>278/26</f>
        <v>10.692307692307692</v>
      </c>
      <c r="G7" s="189">
        <v>52.2</v>
      </c>
      <c r="H7" s="24">
        <v>1</v>
      </c>
      <c r="I7" s="16">
        <f>65/26</f>
        <v>2.5</v>
      </c>
      <c r="J7" s="195">
        <v>40</v>
      </c>
      <c r="K7" s="24">
        <f>82/26</f>
        <v>3.1538461538461537</v>
      </c>
      <c r="L7" s="17">
        <f>104/26</f>
        <v>4</v>
      </c>
      <c r="M7" s="196">
        <v>78.8</v>
      </c>
      <c r="N7" s="41">
        <v>5.4</v>
      </c>
      <c r="O7" s="17">
        <v>2</v>
      </c>
      <c r="P7" s="34">
        <v>7.2</v>
      </c>
      <c r="Q7" s="18">
        <v>1.3</v>
      </c>
      <c r="R7" s="96">
        <v>1</v>
      </c>
      <c r="S7" s="45">
        <v>2.1</v>
      </c>
      <c r="T7" s="101">
        <v>1</v>
      </c>
      <c r="U7" s="45">
        <v>2.9</v>
      </c>
      <c r="V7" s="98" t="s">
        <v>28</v>
      </c>
      <c r="W7" s="104" t="s">
        <v>69</v>
      </c>
      <c r="X7" s="183">
        <v>18.600000000000001</v>
      </c>
    </row>
    <row r="8" spans="1:26" s="2" customFormat="1" ht="18.75" customHeight="1">
      <c r="A8" s="127" t="s">
        <v>70</v>
      </c>
      <c r="B8" s="22" t="s">
        <v>33</v>
      </c>
      <c r="C8" s="19">
        <v>37</v>
      </c>
      <c r="D8" s="150">
        <v>13.1</v>
      </c>
      <c r="E8" s="25">
        <f>124/37</f>
        <v>3.3513513513513513</v>
      </c>
      <c r="F8" s="12">
        <f>208/37</f>
        <v>5.6216216216216219</v>
      </c>
      <c r="G8" s="190">
        <v>59.6</v>
      </c>
      <c r="H8" s="25">
        <v>1</v>
      </c>
      <c r="I8" s="12">
        <f>139/37</f>
        <v>3.7567567567567566</v>
      </c>
      <c r="J8" s="190">
        <v>26.6</v>
      </c>
      <c r="K8" s="25">
        <f>126/37</f>
        <v>3.4054054054054053</v>
      </c>
      <c r="L8" s="12">
        <f>161/37</f>
        <v>4.3513513513513518</v>
      </c>
      <c r="M8" s="197">
        <v>78.3</v>
      </c>
      <c r="N8" s="42">
        <v>4.7</v>
      </c>
      <c r="O8" s="11">
        <v>1.3</v>
      </c>
      <c r="P8" s="35">
        <v>6.1</v>
      </c>
      <c r="Q8" s="19">
        <v>3.6</v>
      </c>
      <c r="R8" s="56">
        <v>0.7</v>
      </c>
      <c r="S8" s="47">
        <v>2.2999999999999998</v>
      </c>
      <c r="T8" s="102">
        <v>1</v>
      </c>
      <c r="U8" s="25">
        <v>3</v>
      </c>
      <c r="V8" s="99" t="s">
        <v>28</v>
      </c>
      <c r="W8" s="105" t="s">
        <v>71</v>
      </c>
      <c r="X8" s="184">
        <v>16.899999999999999</v>
      </c>
    </row>
    <row r="9" spans="1:26" s="2" customFormat="1" ht="18.75" customHeight="1">
      <c r="A9" s="94" t="s">
        <v>72</v>
      </c>
      <c r="B9" s="23" t="s">
        <v>27</v>
      </c>
      <c r="C9" s="20">
        <v>38</v>
      </c>
      <c r="D9" s="152">
        <v>9.6</v>
      </c>
      <c r="E9" s="26">
        <f>71/38</f>
        <v>1.868421052631579</v>
      </c>
      <c r="F9" s="6">
        <f>129/38</f>
        <v>3.3947368421052633</v>
      </c>
      <c r="G9" s="191">
        <v>59.2</v>
      </c>
      <c r="H9" s="26">
        <f>59/38</f>
        <v>1.5526315789473684</v>
      </c>
      <c r="I9" s="6">
        <f>165/38</f>
        <v>4.3421052631578947</v>
      </c>
      <c r="J9" s="191">
        <v>35.799999999999997</v>
      </c>
      <c r="K9" s="26">
        <f>44/38</f>
        <v>1.1578947368421053</v>
      </c>
      <c r="L9" s="6">
        <f>75/38</f>
        <v>1.9736842105263157</v>
      </c>
      <c r="M9" s="198">
        <v>58.7</v>
      </c>
      <c r="N9" s="43">
        <v>5.9</v>
      </c>
      <c r="O9" s="7">
        <v>1.2</v>
      </c>
      <c r="P9" s="37">
        <v>7</v>
      </c>
      <c r="Q9" s="20">
        <v>1.4</v>
      </c>
      <c r="R9" s="57">
        <v>0.8</v>
      </c>
      <c r="S9" s="49">
        <v>0.6</v>
      </c>
      <c r="T9" s="103">
        <v>1</v>
      </c>
      <c r="U9" s="49">
        <v>2.1</v>
      </c>
      <c r="V9" s="100" t="s">
        <v>28</v>
      </c>
      <c r="W9" s="106" t="s">
        <v>73</v>
      </c>
      <c r="X9" s="185">
        <v>13.9</v>
      </c>
    </row>
    <row r="10" spans="1:26" s="2" customFormat="1" ht="18.75" customHeight="1">
      <c r="A10" s="127" t="s">
        <v>74</v>
      </c>
      <c r="B10" s="22" t="s">
        <v>33</v>
      </c>
      <c r="C10" s="19">
        <v>33</v>
      </c>
      <c r="D10" s="150">
        <v>11.7</v>
      </c>
      <c r="E10" s="25">
        <f>92/33</f>
        <v>2.7878787878787881</v>
      </c>
      <c r="F10" s="12">
        <f>192/33</f>
        <v>5.8181818181818183</v>
      </c>
      <c r="G10" s="190">
        <v>47.9</v>
      </c>
      <c r="H10" s="25">
        <f>32/33</f>
        <v>0.96969696969696972</v>
      </c>
      <c r="I10" s="12">
        <f>123/33</f>
        <v>3.7272727272727271</v>
      </c>
      <c r="J10" s="192">
        <v>26</v>
      </c>
      <c r="K10" s="25">
        <f>106/33</f>
        <v>3.2121212121212119</v>
      </c>
      <c r="L10" s="12">
        <f>148/33</f>
        <v>4.4848484848484844</v>
      </c>
      <c r="M10" s="197">
        <v>71.599999999999994</v>
      </c>
      <c r="N10" s="42">
        <v>3.1</v>
      </c>
      <c r="O10" s="11">
        <v>0.9</v>
      </c>
      <c r="P10" s="35">
        <v>3.9</v>
      </c>
      <c r="Q10" s="19">
        <v>5.2</v>
      </c>
      <c r="R10" s="56">
        <v>0.2</v>
      </c>
      <c r="S10" s="25">
        <v>3</v>
      </c>
      <c r="T10" s="22">
        <v>1.8</v>
      </c>
      <c r="U10" s="47">
        <v>2.5</v>
      </c>
      <c r="V10" s="99" t="s">
        <v>28</v>
      </c>
      <c r="W10" s="107" t="s">
        <v>75</v>
      </c>
      <c r="X10" s="184">
        <v>13.7</v>
      </c>
    </row>
    <row r="11" spans="1:26" s="2" customFormat="1" ht="18.75" customHeight="1">
      <c r="A11" s="94" t="s">
        <v>76</v>
      </c>
      <c r="B11" s="23" t="s">
        <v>33</v>
      </c>
      <c r="C11" s="20">
        <v>7</v>
      </c>
      <c r="D11" s="152">
        <v>11.6</v>
      </c>
      <c r="E11" s="26">
        <f>30/7</f>
        <v>4.2857142857142856</v>
      </c>
      <c r="F11" s="6">
        <f>54/7</f>
        <v>7.7142857142857144</v>
      </c>
      <c r="G11" s="191">
        <v>55.6</v>
      </c>
      <c r="H11" s="26">
        <f>4/7</f>
        <v>0.5714285714285714</v>
      </c>
      <c r="I11" s="6">
        <f>11/7</f>
        <v>1.5714285714285714</v>
      </c>
      <c r="J11" s="191">
        <v>36.4</v>
      </c>
      <c r="K11" s="26">
        <f>9/7</f>
        <v>1.2857142857142858</v>
      </c>
      <c r="L11" s="6">
        <f>13/7</f>
        <v>1.8571428571428572</v>
      </c>
      <c r="M11" s="198">
        <v>69.2</v>
      </c>
      <c r="N11" s="43">
        <v>2.7</v>
      </c>
      <c r="O11" s="7">
        <v>1.4</v>
      </c>
      <c r="P11" s="36">
        <v>4.0999999999999996</v>
      </c>
      <c r="Q11" s="20">
        <v>0.3</v>
      </c>
      <c r="R11" s="97">
        <v>0.6</v>
      </c>
      <c r="S11" s="49">
        <v>0.9</v>
      </c>
      <c r="T11" s="23">
        <v>0</v>
      </c>
      <c r="U11" s="49">
        <v>1.1000000000000001</v>
      </c>
      <c r="V11" s="100" t="s">
        <v>28</v>
      </c>
      <c r="W11" s="108" t="s">
        <v>77</v>
      </c>
      <c r="X11" s="185">
        <v>10.9</v>
      </c>
    </row>
    <row r="12" spans="1:26" s="2" customFormat="1" ht="18.75" customHeight="1">
      <c r="A12" s="127" t="s">
        <v>78</v>
      </c>
      <c r="B12" s="22" t="s">
        <v>33</v>
      </c>
      <c r="C12" s="19">
        <v>3</v>
      </c>
      <c r="D12" s="153">
        <v>8</v>
      </c>
      <c r="E12" s="25">
        <v>1</v>
      </c>
      <c r="F12" s="12">
        <f>4/3</f>
        <v>1.3333333333333333</v>
      </c>
      <c r="G12" s="192">
        <v>75</v>
      </c>
      <c r="H12" s="47">
        <v>1.3</v>
      </c>
      <c r="I12" s="12">
        <f>9/3</f>
        <v>3</v>
      </c>
      <c r="J12" s="190">
        <v>44.4</v>
      </c>
      <c r="K12" s="25">
        <f>6/3</f>
        <v>2</v>
      </c>
      <c r="L12" s="12">
        <f>7/3</f>
        <v>2.3333333333333335</v>
      </c>
      <c r="M12" s="197">
        <v>85.7</v>
      </c>
      <c r="N12" s="42">
        <v>2.2999999999999998</v>
      </c>
      <c r="O12" s="11">
        <v>0.7</v>
      </c>
      <c r="P12" s="40">
        <v>3</v>
      </c>
      <c r="Q12" s="19">
        <v>0.3</v>
      </c>
      <c r="R12" s="56">
        <v>0</v>
      </c>
      <c r="S12" s="25">
        <v>1</v>
      </c>
      <c r="T12" s="22">
        <v>0</v>
      </c>
      <c r="U12" s="47">
        <v>0.7</v>
      </c>
      <c r="V12" s="99" t="s">
        <v>28</v>
      </c>
      <c r="W12" s="107" t="s">
        <v>79</v>
      </c>
      <c r="X12" s="184">
        <v>9.3000000000000007</v>
      </c>
    </row>
    <row r="13" spans="1:26" s="2" customFormat="1" ht="18.75" customHeight="1">
      <c r="A13" s="94" t="s">
        <v>80</v>
      </c>
      <c r="B13" s="23" t="s">
        <v>27</v>
      </c>
      <c r="C13" s="20">
        <v>24</v>
      </c>
      <c r="D13" s="152">
        <v>9.3000000000000007</v>
      </c>
      <c r="E13" s="26">
        <f>45/24</f>
        <v>1.875</v>
      </c>
      <c r="F13" s="6">
        <f>93/24</f>
        <v>3.875</v>
      </c>
      <c r="G13" s="191">
        <v>48.4</v>
      </c>
      <c r="H13" s="26">
        <f>38/24</f>
        <v>1.5833333333333333</v>
      </c>
      <c r="I13" s="6">
        <f>129/24</f>
        <v>5.375</v>
      </c>
      <c r="J13" s="191">
        <v>29.5</v>
      </c>
      <c r="K13" s="26">
        <f>18/24</f>
        <v>0.75</v>
      </c>
      <c r="L13" s="6">
        <f>26/24</f>
        <v>1.0833333333333333</v>
      </c>
      <c r="M13" s="198">
        <v>69.2</v>
      </c>
      <c r="N13" s="43">
        <v>3.3</v>
      </c>
      <c r="O13" s="7">
        <v>0.6</v>
      </c>
      <c r="P13" s="36">
        <v>3.8</v>
      </c>
      <c r="Q13" s="20">
        <v>2.8</v>
      </c>
      <c r="R13" s="57">
        <v>0</v>
      </c>
      <c r="S13" s="49">
        <v>1.8</v>
      </c>
      <c r="T13" s="23">
        <v>1.3</v>
      </c>
      <c r="U13" s="49">
        <v>1.6</v>
      </c>
      <c r="V13" s="100" t="s">
        <v>28</v>
      </c>
      <c r="W13" s="106" t="s">
        <v>81</v>
      </c>
      <c r="X13" s="185">
        <v>8.5</v>
      </c>
      <c r="Y13"/>
      <c r="Z13"/>
    </row>
    <row r="14" spans="1:26" s="2" customFormat="1" ht="18.75" customHeight="1">
      <c r="A14" s="127" t="s">
        <v>82</v>
      </c>
      <c r="B14" s="22" t="s">
        <v>27</v>
      </c>
      <c r="C14" s="19">
        <v>17</v>
      </c>
      <c r="D14" s="150">
        <v>5.5</v>
      </c>
      <c r="E14" s="25">
        <f>37/17</f>
        <v>2.1764705882352939</v>
      </c>
      <c r="F14" s="12">
        <f>61/17</f>
        <v>3.5882352941176472</v>
      </c>
      <c r="G14" s="190">
        <v>60.7</v>
      </c>
      <c r="H14" s="25">
        <f>5/17</f>
        <v>0.29411764705882354</v>
      </c>
      <c r="I14" s="12">
        <f>24/17</f>
        <v>1.411764705882353</v>
      </c>
      <c r="J14" s="190">
        <v>20.8</v>
      </c>
      <c r="K14" s="25">
        <f>4/17</f>
        <v>0.23529411764705882</v>
      </c>
      <c r="L14" s="12">
        <f>12/17</f>
        <v>0.70588235294117652</v>
      </c>
      <c r="M14" s="197">
        <v>33.299999999999997</v>
      </c>
      <c r="N14" s="42">
        <v>3.2</v>
      </c>
      <c r="O14" s="11">
        <v>1.3</v>
      </c>
      <c r="P14" s="35">
        <v>4.5</v>
      </c>
      <c r="Q14" s="19">
        <v>0.9</v>
      </c>
      <c r="R14" s="56">
        <v>0.2</v>
      </c>
      <c r="S14" s="47">
        <v>0.8</v>
      </c>
      <c r="T14" s="22">
        <v>0.8</v>
      </c>
      <c r="U14" s="47">
        <v>1.6</v>
      </c>
      <c r="V14" s="99" t="s">
        <v>28</v>
      </c>
      <c r="W14" s="107" t="s">
        <v>83</v>
      </c>
      <c r="X14" s="184">
        <v>7.4</v>
      </c>
      <c r="Y14"/>
      <c r="Z14"/>
    </row>
    <row r="15" spans="1:26" s="2" customFormat="1" ht="18.75" customHeight="1">
      <c r="A15" s="94" t="s">
        <v>84</v>
      </c>
      <c r="B15" s="23" t="s">
        <v>33</v>
      </c>
      <c r="C15" s="20">
        <v>15</v>
      </c>
      <c r="D15" s="152">
        <v>6.7</v>
      </c>
      <c r="E15" s="26">
        <f>35/15</f>
        <v>2.3333333333333335</v>
      </c>
      <c r="F15" s="6">
        <f>70/15</f>
        <v>4.666666666666667</v>
      </c>
      <c r="G15" s="193">
        <v>50</v>
      </c>
      <c r="H15" s="32">
        <v>0</v>
      </c>
      <c r="I15" s="8">
        <v>0</v>
      </c>
      <c r="J15" s="191">
        <v>0</v>
      </c>
      <c r="K15" s="26">
        <f>31/15</f>
        <v>2.0666666666666669</v>
      </c>
      <c r="L15" s="6">
        <f>51/15</f>
        <v>3.4</v>
      </c>
      <c r="M15" s="198">
        <v>60.8</v>
      </c>
      <c r="N15" s="43">
        <v>1.5</v>
      </c>
      <c r="O15" s="7">
        <v>0.8</v>
      </c>
      <c r="P15" s="36">
        <v>2.2999999999999998</v>
      </c>
      <c r="Q15" s="20">
        <v>0.1</v>
      </c>
      <c r="R15" s="57">
        <v>0.9</v>
      </c>
      <c r="S15" s="49">
        <v>1.1000000000000001</v>
      </c>
      <c r="T15" s="23">
        <v>0.2</v>
      </c>
      <c r="U15" s="49">
        <v>1.5</v>
      </c>
      <c r="V15" s="100" t="s">
        <v>28</v>
      </c>
      <c r="W15" s="108" t="s">
        <v>85</v>
      </c>
      <c r="X15" s="185">
        <v>6.3</v>
      </c>
    </row>
    <row r="16" spans="1:26" s="2" customFormat="1" ht="18.75" customHeight="1">
      <c r="A16" s="127" t="s">
        <v>86</v>
      </c>
      <c r="B16" s="22" t="s">
        <v>27</v>
      </c>
      <c r="C16" s="19">
        <v>22</v>
      </c>
      <c r="D16" s="150">
        <v>4.2</v>
      </c>
      <c r="E16" s="25">
        <f>28/22</f>
        <v>1.2727272727272727</v>
      </c>
      <c r="F16" s="12">
        <f>74/22</f>
        <v>3.3636363636363638</v>
      </c>
      <c r="G16" s="190">
        <v>37.799999999999997</v>
      </c>
      <c r="H16" s="25">
        <f>7/22</f>
        <v>0.31818181818181818</v>
      </c>
      <c r="I16" s="12">
        <f>15/22</f>
        <v>0.68181818181818177</v>
      </c>
      <c r="J16" s="190">
        <v>46.7</v>
      </c>
      <c r="K16" s="25">
        <f>16/22</f>
        <v>0.72727272727272729</v>
      </c>
      <c r="L16" s="12">
        <v>1</v>
      </c>
      <c r="M16" s="197">
        <v>72.7</v>
      </c>
      <c r="N16" s="42">
        <v>2.1</v>
      </c>
      <c r="O16" s="11">
        <v>1.2</v>
      </c>
      <c r="P16" s="35">
        <v>3.3</v>
      </c>
      <c r="Q16" s="19">
        <v>0.7</v>
      </c>
      <c r="R16" s="56">
        <v>0</v>
      </c>
      <c r="S16" s="47">
        <v>1.1000000000000001</v>
      </c>
      <c r="T16" s="22">
        <v>0.6</v>
      </c>
      <c r="U16" s="47">
        <v>1.4</v>
      </c>
      <c r="V16" s="99" t="s">
        <v>28</v>
      </c>
      <c r="W16" s="107" t="s">
        <v>87</v>
      </c>
      <c r="X16" s="184">
        <v>4.4000000000000004</v>
      </c>
      <c r="Y16"/>
      <c r="Z16"/>
    </row>
    <row r="17" spans="1:37" s="2" customFormat="1" ht="18.75" customHeight="1">
      <c r="A17" s="94" t="s">
        <v>88</v>
      </c>
      <c r="B17" s="23" t="s">
        <v>33</v>
      </c>
      <c r="C17" s="20">
        <v>9</v>
      </c>
      <c r="D17" s="152">
        <v>3.6</v>
      </c>
      <c r="E17" s="26">
        <f>16/9</f>
        <v>1.7777777777777777</v>
      </c>
      <c r="F17" s="6">
        <f>35/9</f>
        <v>3.8888888888888888</v>
      </c>
      <c r="G17" s="191">
        <v>45.7</v>
      </c>
      <c r="H17" s="49">
        <v>0</v>
      </c>
      <c r="I17" s="7">
        <v>0</v>
      </c>
      <c r="J17" s="191">
        <v>0</v>
      </c>
      <c r="K17" s="49">
        <v>0</v>
      </c>
      <c r="L17" s="6">
        <f>6/9</f>
        <v>0.66666666666666663</v>
      </c>
      <c r="M17" s="198">
        <v>0</v>
      </c>
      <c r="N17" s="43">
        <v>2.2999999999999998</v>
      </c>
      <c r="O17" s="7">
        <v>1.4</v>
      </c>
      <c r="P17" s="36">
        <v>3.8</v>
      </c>
      <c r="Q17" s="44">
        <v>1</v>
      </c>
      <c r="R17" s="57">
        <v>0.6</v>
      </c>
      <c r="S17" s="49">
        <v>1.1000000000000001</v>
      </c>
      <c r="T17" s="23">
        <v>0.2</v>
      </c>
      <c r="U17" s="49">
        <v>2.1</v>
      </c>
      <c r="V17" s="100" t="s">
        <v>28</v>
      </c>
      <c r="W17" s="108" t="s">
        <v>89</v>
      </c>
      <c r="X17" s="185">
        <v>4.0999999999999996</v>
      </c>
      <c r="Y17"/>
      <c r="Z17"/>
    </row>
    <row r="18" spans="1:37" s="2" customFormat="1" ht="18.75" customHeight="1">
      <c r="A18" s="127" t="s">
        <v>90</v>
      </c>
      <c r="B18" s="22" t="s">
        <v>59</v>
      </c>
      <c r="C18" s="19">
        <v>33</v>
      </c>
      <c r="D18" s="150">
        <v>3.9</v>
      </c>
      <c r="E18" s="25">
        <f>36/33</f>
        <v>1.0909090909090908</v>
      </c>
      <c r="F18" s="12">
        <f>77/33</f>
        <v>2.3333333333333335</v>
      </c>
      <c r="G18" s="190">
        <v>46.8</v>
      </c>
      <c r="H18" s="25">
        <f>14/33</f>
        <v>0.42424242424242425</v>
      </c>
      <c r="I18" s="12">
        <f>43/33</f>
        <v>1.303030303030303</v>
      </c>
      <c r="J18" s="190">
        <v>32.6</v>
      </c>
      <c r="K18" s="25">
        <f>15/33</f>
        <v>0.45454545454545453</v>
      </c>
      <c r="L18" s="12">
        <f>22/33</f>
        <v>0.66666666666666663</v>
      </c>
      <c r="M18" s="197">
        <v>68.2</v>
      </c>
      <c r="N18" s="42">
        <v>1.2</v>
      </c>
      <c r="O18" s="11">
        <v>0.4</v>
      </c>
      <c r="P18" s="35">
        <v>1.6</v>
      </c>
      <c r="Q18" s="19">
        <v>0.5</v>
      </c>
      <c r="R18" s="56">
        <v>0</v>
      </c>
      <c r="S18" s="47">
        <v>0.9</v>
      </c>
      <c r="T18" s="22">
        <v>0.6</v>
      </c>
      <c r="U18" s="47">
        <v>1.2</v>
      </c>
      <c r="V18" s="99" t="s">
        <v>28</v>
      </c>
      <c r="W18" s="107" t="s">
        <v>91</v>
      </c>
      <c r="X18" s="184">
        <v>3.8</v>
      </c>
      <c r="Y18"/>
      <c r="Z18"/>
    </row>
    <row r="19" spans="1:37" s="2" customFormat="1" ht="18.75" customHeight="1">
      <c r="A19" s="94" t="s">
        <v>92</v>
      </c>
      <c r="B19" s="23" t="s">
        <v>27</v>
      </c>
      <c r="C19" s="20">
        <v>16</v>
      </c>
      <c r="D19" s="152">
        <v>3.9</v>
      </c>
      <c r="E19" s="26">
        <f>11/16</f>
        <v>0.6875</v>
      </c>
      <c r="F19" s="6">
        <f>23/16</f>
        <v>1.4375</v>
      </c>
      <c r="G19" s="191">
        <v>47.8</v>
      </c>
      <c r="H19" s="26">
        <f>13/16</f>
        <v>0.8125</v>
      </c>
      <c r="I19" s="6">
        <f>36/16</f>
        <v>2.25</v>
      </c>
      <c r="J19" s="191">
        <v>36.1</v>
      </c>
      <c r="K19" s="26">
        <f>2/16</f>
        <v>0.125</v>
      </c>
      <c r="L19" s="6">
        <f>4/16</f>
        <v>0.25</v>
      </c>
      <c r="M19" s="199">
        <v>50</v>
      </c>
      <c r="N19" s="43">
        <v>1.4</v>
      </c>
      <c r="O19" s="7">
        <v>0.5</v>
      </c>
      <c r="P19" s="36">
        <v>1.9</v>
      </c>
      <c r="Q19" s="20">
        <v>0.9</v>
      </c>
      <c r="R19" s="57">
        <v>0.3</v>
      </c>
      <c r="S19" s="49">
        <v>0.8</v>
      </c>
      <c r="T19" s="23">
        <v>0.6</v>
      </c>
      <c r="U19" s="49">
        <v>1.9</v>
      </c>
      <c r="V19" s="100" t="s">
        <v>28</v>
      </c>
      <c r="W19" s="108" t="s">
        <v>93</v>
      </c>
      <c r="X19" s="186">
        <v>3</v>
      </c>
      <c r="Y19"/>
      <c r="Z19"/>
    </row>
    <row r="20" spans="1:37" s="2" customFormat="1" ht="18.75" customHeight="1">
      <c r="A20" s="127" t="s">
        <v>94</v>
      </c>
      <c r="B20" s="22" t="s">
        <v>27</v>
      </c>
      <c r="C20" s="19">
        <v>27</v>
      </c>
      <c r="D20" s="150">
        <v>3.3</v>
      </c>
      <c r="E20" s="25">
        <f>36/27</f>
        <v>1.3333333333333333</v>
      </c>
      <c r="F20" s="12">
        <f>67/27</f>
        <v>2.4814814814814814</v>
      </c>
      <c r="G20" s="190">
        <v>53.7</v>
      </c>
      <c r="H20" s="47">
        <v>0</v>
      </c>
      <c r="I20" s="11">
        <v>0</v>
      </c>
      <c r="J20" s="190">
        <v>0</v>
      </c>
      <c r="K20" s="25">
        <f>17/27</f>
        <v>0.62962962962962965</v>
      </c>
      <c r="L20" s="12">
        <f>25/27</f>
        <v>0.92592592592592593</v>
      </c>
      <c r="M20" s="200">
        <v>68</v>
      </c>
      <c r="N20" s="42">
        <v>1.1000000000000001</v>
      </c>
      <c r="O20" s="11">
        <v>0.9</v>
      </c>
      <c r="P20" s="40">
        <v>2</v>
      </c>
      <c r="Q20" s="19">
        <v>0.1</v>
      </c>
      <c r="R20" s="56">
        <v>0.1</v>
      </c>
      <c r="S20" s="47">
        <v>0.6</v>
      </c>
      <c r="T20" s="22">
        <v>0.2</v>
      </c>
      <c r="U20" s="47">
        <v>1.2</v>
      </c>
      <c r="V20" s="99" t="s">
        <v>28</v>
      </c>
      <c r="W20" s="107" t="s">
        <v>55</v>
      </c>
      <c r="X20" s="187">
        <v>3</v>
      </c>
      <c r="Y20"/>
      <c r="Z20"/>
    </row>
    <row r="21" spans="1:37" s="2" customFormat="1" ht="18.75" customHeight="1">
      <c r="A21" s="94" t="s">
        <v>95</v>
      </c>
      <c r="B21" s="23" t="s">
        <v>27</v>
      </c>
      <c r="C21" s="20">
        <v>26</v>
      </c>
      <c r="D21" s="152">
        <v>4.0999999999999996</v>
      </c>
      <c r="E21" s="26">
        <f>30/26</f>
        <v>1.1538461538461537</v>
      </c>
      <c r="F21" s="6">
        <f>71/26</f>
        <v>2.7307692307692308</v>
      </c>
      <c r="G21" s="191">
        <v>42.3</v>
      </c>
      <c r="H21" s="26">
        <f>14/26</f>
        <v>0.53846153846153844</v>
      </c>
      <c r="I21" s="6">
        <f>47/26</f>
        <v>1.8076923076923077</v>
      </c>
      <c r="J21" s="191">
        <v>29.8</v>
      </c>
      <c r="K21" s="26">
        <f>5/26</f>
        <v>0.19230769230769232</v>
      </c>
      <c r="L21" s="6">
        <f>7/26</f>
        <v>0.26923076923076922</v>
      </c>
      <c r="M21" s="198">
        <v>71.400000000000006</v>
      </c>
      <c r="N21" s="43">
        <v>1.7</v>
      </c>
      <c r="O21" s="7">
        <v>0.6</v>
      </c>
      <c r="P21" s="36">
        <v>2.2999999999999998</v>
      </c>
      <c r="Q21" s="20">
        <v>0.7</v>
      </c>
      <c r="R21" s="57">
        <v>0</v>
      </c>
      <c r="S21" s="49">
        <v>0.6</v>
      </c>
      <c r="T21" s="23">
        <v>0.2</v>
      </c>
      <c r="U21" s="49">
        <v>1.5</v>
      </c>
      <c r="V21" s="100" t="s">
        <v>28</v>
      </c>
      <c r="W21" s="108" t="s">
        <v>96</v>
      </c>
      <c r="X21" s="185">
        <v>2.7</v>
      </c>
      <c r="Y21"/>
      <c r="Z21"/>
    </row>
    <row r="22" spans="1:37" s="2" customFormat="1" ht="18.75" customHeight="1">
      <c r="A22" s="127" t="s">
        <v>97</v>
      </c>
      <c r="B22" s="22" t="s">
        <v>27</v>
      </c>
      <c r="C22" s="19">
        <v>34</v>
      </c>
      <c r="D22" s="150">
        <v>5.0999999999999996</v>
      </c>
      <c r="E22" s="25">
        <f>31/34</f>
        <v>0.91176470588235292</v>
      </c>
      <c r="F22" s="12">
        <f>67/34</f>
        <v>1.9705882352941178</v>
      </c>
      <c r="G22" s="190">
        <v>46.3</v>
      </c>
      <c r="H22" s="25">
        <f>30/34</f>
        <v>0.88235294117647056</v>
      </c>
      <c r="I22" s="12">
        <f>88/34</f>
        <v>2.5882352941176472</v>
      </c>
      <c r="J22" s="190">
        <v>34.1</v>
      </c>
      <c r="K22" s="25">
        <f>22/34</f>
        <v>0.6470588235294118</v>
      </c>
      <c r="L22" s="12">
        <v>1</v>
      </c>
      <c r="M22" s="197">
        <v>64.7</v>
      </c>
      <c r="N22" s="42">
        <v>0.9</v>
      </c>
      <c r="O22" s="11">
        <v>0.1</v>
      </c>
      <c r="P22" s="40">
        <v>1</v>
      </c>
      <c r="Q22" s="19">
        <v>1.1000000000000001</v>
      </c>
      <c r="R22" s="56">
        <v>0.1</v>
      </c>
      <c r="S22" s="25">
        <v>1</v>
      </c>
      <c r="T22" s="22">
        <v>0.6</v>
      </c>
      <c r="U22" s="47">
        <v>1.9</v>
      </c>
      <c r="V22" s="99" t="s">
        <v>28</v>
      </c>
      <c r="W22" s="107" t="s">
        <v>98</v>
      </c>
      <c r="X22" s="184">
        <v>2.5</v>
      </c>
      <c r="Y22"/>
      <c r="Z22"/>
    </row>
    <row r="23" spans="1:37" s="2" customFormat="1" ht="18.75" customHeight="1">
      <c r="A23" s="109" t="s">
        <v>99</v>
      </c>
      <c r="B23" s="110" t="s">
        <v>27</v>
      </c>
      <c r="C23" s="111">
        <v>26</v>
      </c>
      <c r="D23" s="182">
        <v>1.9</v>
      </c>
      <c r="E23" s="112">
        <f>19/26</f>
        <v>0.73076923076923073</v>
      </c>
      <c r="F23" s="113">
        <f>33/26</f>
        <v>1.2692307692307692</v>
      </c>
      <c r="G23" s="194">
        <v>57.6</v>
      </c>
      <c r="H23" s="112">
        <v>0.1</v>
      </c>
      <c r="I23" s="113">
        <f>3/26</f>
        <v>0.11538461538461539</v>
      </c>
      <c r="J23" s="194">
        <v>33.299999999999997</v>
      </c>
      <c r="K23" s="112">
        <f>8/26</f>
        <v>0.30769230769230771</v>
      </c>
      <c r="L23" s="113">
        <f>14/26</f>
        <v>0.53846153846153844</v>
      </c>
      <c r="M23" s="201">
        <v>57.1</v>
      </c>
      <c r="N23" s="115">
        <v>0.8</v>
      </c>
      <c r="O23" s="116">
        <v>0.7</v>
      </c>
      <c r="P23" s="114">
        <v>1.5</v>
      </c>
      <c r="Q23" s="111">
        <v>0.3</v>
      </c>
      <c r="R23" s="117">
        <v>0</v>
      </c>
      <c r="S23" s="118">
        <v>0.9</v>
      </c>
      <c r="T23" s="119">
        <v>0.2</v>
      </c>
      <c r="U23" s="118">
        <v>1.2</v>
      </c>
      <c r="V23" s="120" t="s">
        <v>28</v>
      </c>
      <c r="W23" s="121" t="s">
        <v>100</v>
      </c>
      <c r="X23" s="188">
        <v>1.3</v>
      </c>
      <c r="Y23"/>
      <c r="Z23"/>
    </row>
    <row r="24" spans="1:37" s="2" customFormat="1" ht="18.75" customHeight="1">
      <c r="A24" s="448" t="s">
        <v>101</v>
      </c>
      <c r="B24" s="449"/>
      <c r="C24" s="78">
        <v>38</v>
      </c>
      <c r="D24" s="79">
        <v>77.5</v>
      </c>
      <c r="E24" s="80">
        <v>20.8</v>
      </c>
      <c r="F24" s="81">
        <v>40.299999999999997</v>
      </c>
      <c r="G24" s="82">
        <v>51.6</v>
      </c>
      <c r="H24" s="80">
        <v>7.5</v>
      </c>
      <c r="I24" s="81">
        <v>23.7</v>
      </c>
      <c r="J24" s="82">
        <v>31.5</v>
      </c>
      <c r="K24" s="80">
        <v>13.5</v>
      </c>
      <c r="L24" s="81">
        <v>19.3</v>
      </c>
      <c r="M24" s="83">
        <v>69.7</v>
      </c>
      <c r="N24" s="84">
        <v>28.2</v>
      </c>
      <c r="O24" s="85">
        <v>9.5</v>
      </c>
      <c r="P24" s="86">
        <v>37.700000000000003</v>
      </c>
      <c r="Q24" s="87">
        <v>16.8</v>
      </c>
      <c r="R24" s="88">
        <v>3.4</v>
      </c>
      <c r="S24" s="89">
        <v>13.4</v>
      </c>
      <c r="T24" s="122">
        <v>7.8</v>
      </c>
      <c r="U24" s="123">
        <v>19.600000000000001</v>
      </c>
      <c r="V24" s="124"/>
      <c r="W24" s="125"/>
      <c r="X24" s="126">
        <v>84.3</v>
      </c>
      <c r="Y24"/>
      <c r="Z24"/>
    </row>
    <row r="25" spans="1:37" s="2" customFormat="1" ht="18.75" customHeight="1">
      <c r="A25" s="461" t="s">
        <v>62</v>
      </c>
      <c r="B25" s="462"/>
      <c r="C25" s="202">
        <v>38</v>
      </c>
      <c r="D25" s="203">
        <v>74.900000000000006</v>
      </c>
      <c r="E25" s="457"/>
      <c r="F25" s="458"/>
      <c r="G25" s="204">
        <v>47.3</v>
      </c>
      <c r="H25" s="459"/>
      <c r="I25" s="460"/>
      <c r="J25" s="204">
        <v>31.8</v>
      </c>
      <c r="K25" s="205"/>
      <c r="L25" s="206"/>
      <c r="M25" s="206"/>
      <c r="N25" s="206"/>
      <c r="O25" s="206"/>
      <c r="P25" s="206"/>
      <c r="Q25" s="206"/>
      <c r="R25" s="206"/>
      <c r="S25" s="206"/>
      <c r="T25" s="206"/>
      <c r="U25" s="206"/>
      <c r="V25" s="206"/>
      <c r="W25" s="206"/>
      <c r="X25" s="207"/>
      <c r="Y25"/>
      <c r="Z25"/>
    </row>
    <row r="26" spans="1:37" s="2" customFormat="1" ht="18.75" customHeight="1">
      <c r="A26" s="455" t="s">
        <v>102</v>
      </c>
      <c r="B26" s="456"/>
      <c r="C26" s="456"/>
      <c r="D26" s="456"/>
      <c r="E26" s="456"/>
      <c r="F26" s="456"/>
      <c r="G26" s="456"/>
      <c r="H26" s="456"/>
      <c r="I26" s="456"/>
      <c r="J26" s="456"/>
      <c r="K26" s="456"/>
      <c r="L26" s="456"/>
      <c r="M26" s="456"/>
      <c r="N26" s="456"/>
      <c r="O26" s="456"/>
      <c r="P26" s="456"/>
      <c r="Q26" s="456"/>
      <c r="R26" s="456"/>
      <c r="S26" s="456"/>
      <c r="T26" s="456"/>
      <c r="U26" s="456"/>
      <c r="V26" s="456"/>
      <c r="W26" s="456"/>
      <c r="X26" s="456"/>
      <c r="Y26"/>
      <c r="Z26"/>
    </row>
    <row r="27" spans="1:37" s="2" customFormat="1" ht="18.75" customHeight="1">
      <c r="A27" s="453" t="s">
        <v>103</v>
      </c>
      <c r="B27" s="453"/>
      <c r="C27" s="453"/>
      <c r="D27" s="453"/>
      <c r="E27" s="453"/>
      <c r="F27" s="453"/>
      <c r="G27" s="453"/>
      <c r="H27" s="453"/>
      <c r="I27" s="453"/>
      <c r="J27" s="453"/>
      <c r="K27" s="453"/>
      <c r="L27" s="453"/>
      <c r="M27" s="453"/>
      <c r="N27" s="453"/>
      <c r="O27" s="453"/>
      <c r="P27" s="453"/>
      <c r="Q27" s="453"/>
      <c r="R27" s="453"/>
      <c r="S27" s="453"/>
      <c r="T27" s="453"/>
      <c r="U27" s="453"/>
      <c r="V27" s="453"/>
      <c r="W27" s="453"/>
      <c r="X27" s="453"/>
      <c r="Y27"/>
      <c r="Z27"/>
    </row>
    <row r="28" spans="1:37" s="2" customFormat="1" ht="18.75" customHeight="1">
      <c r="A28" s="454" t="s">
        <v>65</v>
      </c>
      <c r="B28" s="454"/>
      <c r="C28" s="454"/>
      <c r="D28" s="454"/>
      <c r="E28" s="454"/>
      <c r="F28" s="454"/>
      <c r="G28" s="454"/>
      <c r="H28" s="454"/>
      <c r="I28" s="454"/>
      <c r="J28" s="454"/>
      <c r="K28" s="454"/>
      <c r="L28" s="454"/>
      <c r="M28" s="454"/>
      <c r="N28" s="454"/>
      <c r="O28" s="454"/>
      <c r="P28" s="454"/>
      <c r="Q28" s="454"/>
      <c r="R28" s="454"/>
      <c r="S28" s="454"/>
      <c r="T28" s="454"/>
      <c r="U28" s="454"/>
      <c r="V28" s="454"/>
      <c r="W28" s="454"/>
      <c r="X28" s="454"/>
      <c r="Y28"/>
      <c r="Z28"/>
      <c r="AK28" s="3"/>
    </row>
  </sheetData>
  <mergeCells count="25">
    <mergeCell ref="A27:X27"/>
    <mergeCell ref="U5:V5"/>
    <mergeCell ref="A28:X28"/>
    <mergeCell ref="Q5:Q6"/>
    <mergeCell ref="S5:T5"/>
    <mergeCell ref="X5:X6"/>
    <mergeCell ref="K5:M5"/>
    <mergeCell ref="W5:W6"/>
    <mergeCell ref="A5:A6"/>
    <mergeCell ref="E5:G5"/>
    <mergeCell ref="B5:B6"/>
    <mergeCell ref="A26:X26"/>
    <mergeCell ref="E25:F25"/>
    <mergeCell ref="H25:I25"/>
    <mergeCell ref="A25:B25"/>
    <mergeCell ref="T1:X4"/>
    <mergeCell ref="B1:S2"/>
    <mergeCell ref="B3:S4"/>
    <mergeCell ref="R5:R6"/>
    <mergeCell ref="A24:B24"/>
    <mergeCell ref="A1:A4"/>
    <mergeCell ref="C5:C6"/>
    <mergeCell ref="D5:D6"/>
    <mergeCell ref="N5:P5"/>
    <mergeCell ref="H5:J5"/>
  </mergeCells>
  <pageMargins left="0.25" right="0.25" top="0.75" bottom="0.75" header="0.3" footer="0.3"/>
  <pageSetup paperSize="5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499984740745262"/>
  </sheetPr>
  <dimension ref="A1:AI27"/>
  <sheetViews>
    <sheetView zoomScale="106" zoomScaleNormal="106" workbookViewId="0">
      <selection activeCell="B1" sqref="B1:S2"/>
    </sheetView>
  </sheetViews>
  <sheetFormatPr defaultColWidth="9.140625" defaultRowHeight="15"/>
  <cols>
    <col min="1" max="1" width="25.140625" customWidth="1"/>
    <col min="2" max="2" width="6.42578125" style="1" customWidth="1"/>
    <col min="3" max="3" width="5.7109375" style="1" customWidth="1"/>
    <col min="4" max="4" width="6.140625" style="1" customWidth="1"/>
    <col min="5" max="23" width="5.7109375" style="1" customWidth="1"/>
    <col min="24" max="24" width="6.140625" customWidth="1"/>
    <col min="25" max="255" width="11.42578125" customWidth="1"/>
  </cols>
  <sheetData>
    <row r="1" spans="1:24" ht="14.25" customHeight="1">
      <c r="A1" s="465"/>
      <c r="B1" s="421" t="s">
        <v>104</v>
      </c>
      <c r="C1" s="421"/>
      <c r="D1" s="421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1"/>
      <c r="Q1" s="421"/>
      <c r="R1" s="421"/>
      <c r="S1" s="421"/>
      <c r="T1" s="409"/>
      <c r="U1" s="409"/>
      <c r="V1" s="409"/>
      <c r="W1" s="409"/>
      <c r="X1" s="410"/>
    </row>
    <row r="2" spans="1:24" ht="14.25" customHeight="1">
      <c r="A2" s="466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11"/>
      <c r="U2" s="411"/>
      <c r="V2" s="411"/>
      <c r="W2" s="411"/>
      <c r="X2" s="412"/>
    </row>
    <row r="3" spans="1:24" ht="15" customHeight="1">
      <c r="A3" s="466"/>
      <c r="B3" s="463" t="s">
        <v>105</v>
      </c>
      <c r="C3" s="463"/>
      <c r="D3" s="463"/>
      <c r="E3" s="463"/>
      <c r="F3" s="463"/>
      <c r="G3" s="463"/>
      <c r="H3" s="463"/>
      <c r="I3" s="463"/>
      <c r="J3" s="463"/>
      <c r="K3" s="463"/>
      <c r="L3" s="463"/>
      <c r="M3" s="463"/>
      <c r="N3" s="463"/>
      <c r="O3" s="463"/>
      <c r="P3" s="463"/>
      <c r="Q3" s="463"/>
      <c r="R3" s="463"/>
      <c r="S3" s="463"/>
      <c r="T3" s="411"/>
      <c r="U3" s="411"/>
      <c r="V3" s="411"/>
      <c r="W3" s="411"/>
      <c r="X3" s="412"/>
    </row>
    <row r="4" spans="1:24" ht="15.75" customHeight="1">
      <c r="A4" s="466"/>
      <c r="B4" s="463"/>
      <c r="C4" s="463"/>
      <c r="D4" s="463"/>
      <c r="E4" s="463"/>
      <c r="F4" s="463"/>
      <c r="G4" s="463"/>
      <c r="H4" s="463"/>
      <c r="I4" s="463"/>
      <c r="J4" s="463"/>
      <c r="K4" s="463"/>
      <c r="L4" s="463"/>
      <c r="M4" s="463"/>
      <c r="N4" s="463"/>
      <c r="O4" s="463"/>
      <c r="P4" s="463"/>
      <c r="Q4" s="463"/>
      <c r="R4" s="463"/>
      <c r="S4" s="463"/>
      <c r="T4" s="411"/>
      <c r="U4" s="411"/>
      <c r="V4" s="411"/>
      <c r="W4" s="411"/>
      <c r="X4" s="412"/>
    </row>
    <row r="5" spans="1:24" ht="15" customHeight="1">
      <c r="A5" s="413" t="s">
        <v>2</v>
      </c>
      <c r="B5" s="430" t="s">
        <v>3</v>
      </c>
      <c r="C5" s="415" t="s">
        <v>4</v>
      </c>
      <c r="D5" s="417" t="s">
        <v>5</v>
      </c>
      <c r="E5" s="426" t="s">
        <v>6</v>
      </c>
      <c r="F5" s="435"/>
      <c r="G5" s="430"/>
      <c r="H5" s="434" t="s">
        <v>7</v>
      </c>
      <c r="I5" s="435"/>
      <c r="J5" s="427"/>
      <c r="K5" s="426" t="s">
        <v>8</v>
      </c>
      <c r="L5" s="435"/>
      <c r="M5" s="427"/>
      <c r="N5" s="428" t="s">
        <v>9</v>
      </c>
      <c r="O5" s="439"/>
      <c r="P5" s="429"/>
      <c r="Q5" s="419" t="s">
        <v>10</v>
      </c>
      <c r="R5" s="415" t="s">
        <v>11</v>
      </c>
      <c r="S5" s="426" t="s">
        <v>12</v>
      </c>
      <c r="T5" s="427"/>
      <c r="U5" s="428" t="s">
        <v>13</v>
      </c>
      <c r="V5" s="429"/>
      <c r="W5" s="424" t="s">
        <v>14</v>
      </c>
      <c r="X5" s="419" t="s">
        <v>15</v>
      </c>
    </row>
    <row r="6" spans="1:24" ht="15" customHeight="1">
      <c r="A6" s="414"/>
      <c r="B6" s="431"/>
      <c r="C6" s="416"/>
      <c r="D6" s="418"/>
      <c r="E6" s="133" t="s">
        <v>16</v>
      </c>
      <c r="F6" s="134" t="s">
        <v>17</v>
      </c>
      <c r="G6" s="132" t="s">
        <v>18</v>
      </c>
      <c r="H6" s="135" t="s">
        <v>16</v>
      </c>
      <c r="I6" s="134" t="s">
        <v>17</v>
      </c>
      <c r="J6" s="136" t="s">
        <v>18</v>
      </c>
      <c r="K6" s="133" t="s">
        <v>16</v>
      </c>
      <c r="L6" s="134" t="s">
        <v>17</v>
      </c>
      <c r="M6" s="132" t="s">
        <v>18</v>
      </c>
      <c r="N6" s="140" t="s">
        <v>19</v>
      </c>
      <c r="O6" s="141" t="s">
        <v>20</v>
      </c>
      <c r="P6" s="142" t="s">
        <v>21</v>
      </c>
      <c r="Q6" s="438"/>
      <c r="R6" s="416"/>
      <c r="S6" s="133" t="s">
        <v>22</v>
      </c>
      <c r="T6" s="132" t="s">
        <v>23</v>
      </c>
      <c r="U6" s="140" t="s">
        <v>24</v>
      </c>
      <c r="V6" s="142" t="s">
        <v>25</v>
      </c>
      <c r="W6" s="425"/>
      <c r="X6" s="420"/>
    </row>
    <row r="7" spans="1:24" ht="18.75" customHeight="1">
      <c r="A7" s="93" t="s">
        <v>106</v>
      </c>
      <c r="B7" s="46" t="s">
        <v>33</v>
      </c>
      <c r="C7" s="55">
        <v>27</v>
      </c>
      <c r="D7" s="208">
        <v>13.4</v>
      </c>
      <c r="E7" s="24">
        <f>106/27</f>
        <v>3.925925925925926</v>
      </c>
      <c r="F7" s="17">
        <f>202/27</f>
        <v>7.4814814814814818</v>
      </c>
      <c r="G7" s="173">
        <v>52.7</v>
      </c>
      <c r="H7" s="28">
        <f>26/27</f>
        <v>0.96296296296296291</v>
      </c>
      <c r="I7" s="17">
        <f>71/27</f>
        <v>2.6296296296296298</v>
      </c>
      <c r="J7" s="215">
        <v>36.6</v>
      </c>
      <c r="K7" s="24">
        <f>71/27</f>
        <v>2.6296296296296298</v>
      </c>
      <c r="L7" s="17">
        <f>108/27</f>
        <v>4</v>
      </c>
      <c r="M7" s="173">
        <v>65.7</v>
      </c>
      <c r="N7" s="41">
        <v>9.1999999999999993</v>
      </c>
      <c r="O7" s="16">
        <v>2.6</v>
      </c>
      <c r="P7" s="95">
        <v>11.8</v>
      </c>
      <c r="Q7" s="18">
        <v>1.2</v>
      </c>
      <c r="R7" s="55">
        <v>1.4</v>
      </c>
      <c r="S7" s="45">
        <v>2.2999999999999998</v>
      </c>
      <c r="T7" s="46">
        <v>0.6</v>
      </c>
      <c r="U7" s="41">
        <v>3.3</v>
      </c>
      <c r="V7" s="65" t="s">
        <v>28</v>
      </c>
      <c r="W7" s="131" t="s">
        <v>107</v>
      </c>
      <c r="X7" s="212">
        <v>19.600000000000001</v>
      </c>
    </row>
    <row r="8" spans="1:24" ht="18.75" customHeight="1">
      <c r="A8" s="127" t="s">
        <v>108</v>
      </c>
      <c r="B8" s="51" t="s">
        <v>27</v>
      </c>
      <c r="C8" s="56">
        <v>32</v>
      </c>
      <c r="D8" s="209">
        <v>14.9</v>
      </c>
      <c r="E8" s="25">
        <f>73/32</f>
        <v>2.28125</v>
      </c>
      <c r="F8" s="12">
        <f>138/32</f>
        <v>4.3125</v>
      </c>
      <c r="G8" s="176">
        <v>52.9</v>
      </c>
      <c r="H8" s="29">
        <f>77/32</f>
        <v>2.40625</v>
      </c>
      <c r="I8" s="12">
        <f>222/32</f>
        <v>6.9375</v>
      </c>
      <c r="J8" s="216">
        <v>34.700000000000003</v>
      </c>
      <c r="K8" s="25">
        <f>100/32</f>
        <v>3.125</v>
      </c>
      <c r="L8" s="12">
        <f>122/32</f>
        <v>3.8125</v>
      </c>
      <c r="M8" s="174">
        <v>82</v>
      </c>
      <c r="N8" s="42">
        <v>3.3</v>
      </c>
      <c r="O8" s="11">
        <v>0.6</v>
      </c>
      <c r="P8" s="40">
        <v>4</v>
      </c>
      <c r="Q8" s="19">
        <v>4.5</v>
      </c>
      <c r="R8" s="56">
        <v>0.1</v>
      </c>
      <c r="S8" s="47">
        <v>2.8</v>
      </c>
      <c r="T8" s="51">
        <v>0.8</v>
      </c>
      <c r="U8" s="42">
        <v>1.4</v>
      </c>
      <c r="V8" s="58" t="s">
        <v>28</v>
      </c>
      <c r="W8" s="130" t="s">
        <v>109</v>
      </c>
      <c r="X8" s="213">
        <v>15.8</v>
      </c>
    </row>
    <row r="9" spans="1:24" ht="18.75" customHeight="1">
      <c r="A9" s="94" t="s">
        <v>110</v>
      </c>
      <c r="B9" s="52" t="s">
        <v>33</v>
      </c>
      <c r="C9" s="57">
        <v>33</v>
      </c>
      <c r="D9" s="210">
        <v>12.7</v>
      </c>
      <c r="E9" s="26">
        <f>100/33</f>
        <v>3.0303030303030303</v>
      </c>
      <c r="F9" s="6">
        <f>176/33</f>
        <v>5.333333333333333</v>
      </c>
      <c r="G9" s="175">
        <v>56.8</v>
      </c>
      <c r="H9" s="30">
        <f>49/33</f>
        <v>1.4848484848484849</v>
      </c>
      <c r="I9" s="6">
        <f>134/33</f>
        <v>4.0606060606060606</v>
      </c>
      <c r="J9" s="167">
        <v>36.6</v>
      </c>
      <c r="K9" s="26">
        <f>73/33</f>
        <v>2.2121212121212119</v>
      </c>
      <c r="L9" s="6">
        <f>86/33</f>
        <v>2.606060606060606</v>
      </c>
      <c r="M9" s="177">
        <v>84.9</v>
      </c>
      <c r="N9" s="43">
        <v>3.1</v>
      </c>
      <c r="O9" s="7">
        <v>0.8</v>
      </c>
      <c r="P9" s="37">
        <v>3.8</v>
      </c>
      <c r="Q9" s="20">
        <v>2.8</v>
      </c>
      <c r="R9" s="57">
        <v>0</v>
      </c>
      <c r="S9" s="49">
        <v>1.9</v>
      </c>
      <c r="T9" s="52">
        <v>1.1000000000000001</v>
      </c>
      <c r="U9" s="43">
        <v>1.7</v>
      </c>
      <c r="V9" s="59" t="s">
        <v>28</v>
      </c>
      <c r="W9" s="129" t="s">
        <v>111</v>
      </c>
      <c r="X9" s="214">
        <v>14.4</v>
      </c>
    </row>
    <row r="10" spans="1:24" ht="18.75" customHeight="1">
      <c r="A10" s="127" t="s">
        <v>112</v>
      </c>
      <c r="B10" s="51" t="s">
        <v>33</v>
      </c>
      <c r="C10" s="56">
        <v>28</v>
      </c>
      <c r="D10" s="209">
        <v>15.4</v>
      </c>
      <c r="E10" s="25">
        <f>97/28</f>
        <v>3.4642857142857144</v>
      </c>
      <c r="F10" s="12">
        <f>191/28</f>
        <v>6.8214285714285712</v>
      </c>
      <c r="G10" s="176">
        <v>50.8</v>
      </c>
      <c r="H10" s="29">
        <f>50/28</f>
        <v>1.7857142857142858</v>
      </c>
      <c r="I10" s="12">
        <f>141/28</f>
        <v>5.0357142857142856</v>
      </c>
      <c r="J10" s="216">
        <v>35.5</v>
      </c>
      <c r="K10" s="25">
        <f>87/28</f>
        <v>3.1071428571428572</v>
      </c>
      <c r="L10" s="12">
        <f>108/28</f>
        <v>3.8571428571428572</v>
      </c>
      <c r="M10" s="176">
        <v>80.599999999999994</v>
      </c>
      <c r="N10" s="42">
        <v>2.7</v>
      </c>
      <c r="O10" s="11">
        <v>1.1000000000000001</v>
      </c>
      <c r="P10" s="40">
        <v>3.8</v>
      </c>
      <c r="Q10" s="19">
        <v>1.4</v>
      </c>
      <c r="R10" s="56">
        <v>0</v>
      </c>
      <c r="S10" s="47">
        <v>1.3</v>
      </c>
      <c r="T10" s="51">
        <v>0.6</v>
      </c>
      <c r="U10" s="42">
        <v>2.2999999999999998</v>
      </c>
      <c r="V10" s="58" t="s">
        <v>28</v>
      </c>
      <c r="W10" s="130" t="s">
        <v>113</v>
      </c>
      <c r="X10" s="213">
        <v>13.5</v>
      </c>
    </row>
    <row r="11" spans="1:24" ht="18.75" customHeight="1">
      <c r="A11" s="94" t="s">
        <v>114</v>
      </c>
      <c r="B11" s="52" t="s">
        <v>33</v>
      </c>
      <c r="C11" s="57">
        <v>32</v>
      </c>
      <c r="D11" s="210">
        <v>11.3</v>
      </c>
      <c r="E11" s="26">
        <f>94/32</f>
        <v>2.9375</v>
      </c>
      <c r="F11" s="6">
        <f>173/32</f>
        <v>5.40625</v>
      </c>
      <c r="G11" s="175">
        <v>54.3</v>
      </c>
      <c r="H11" s="30">
        <f>43/32</f>
        <v>1.34375</v>
      </c>
      <c r="I11" s="6">
        <f>122/32</f>
        <v>3.8125</v>
      </c>
      <c r="J11" s="167">
        <v>35.200000000000003</v>
      </c>
      <c r="K11" s="26">
        <f>43/32</f>
        <v>1.34375</v>
      </c>
      <c r="L11" s="6">
        <f>57/32</f>
        <v>1.78125</v>
      </c>
      <c r="M11" s="175">
        <v>75.400000000000006</v>
      </c>
      <c r="N11" s="43">
        <v>3.1</v>
      </c>
      <c r="O11" s="7">
        <v>1.5</v>
      </c>
      <c r="P11" s="37">
        <v>4.5999999999999996</v>
      </c>
      <c r="Q11" s="20">
        <v>1.6</v>
      </c>
      <c r="R11" s="57">
        <v>0.4</v>
      </c>
      <c r="S11" s="26">
        <v>1</v>
      </c>
      <c r="T11" s="50">
        <v>1</v>
      </c>
      <c r="U11" s="43">
        <v>2.2999999999999998</v>
      </c>
      <c r="V11" s="59" t="s">
        <v>28</v>
      </c>
      <c r="W11" s="129" t="s">
        <v>115</v>
      </c>
      <c r="X11" s="214">
        <v>11.9</v>
      </c>
    </row>
    <row r="12" spans="1:24" ht="18.75" customHeight="1">
      <c r="A12" s="127" t="s">
        <v>116</v>
      </c>
      <c r="B12" s="51" t="s">
        <v>27</v>
      </c>
      <c r="C12" s="56">
        <v>30</v>
      </c>
      <c r="D12" s="209">
        <v>8.3000000000000007</v>
      </c>
      <c r="E12" s="25">
        <f>65/30</f>
        <v>2.1666666666666665</v>
      </c>
      <c r="F12" s="12">
        <f>116/30</f>
        <v>3.8666666666666667</v>
      </c>
      <c r="G12" s="174">
        <v>56</v>
      </c>
      <c r="H12" s="29">
        <f>32/30</f>
        <v>1.0666666666666667</v>
      </c>
      <c r="I12" s="11">
        <f>87/30</f>
        <v>2.9</v>
      </c>
      <c r="J12" s="216">
        <v>36.799999999999997</v>
      </c>
      <c r="K12" s="25">
        <f>24/30</f>
        <v>0.8</v>
      </c>
      <c r="L12" s="12">
        <f>35/30</f>
        <v>1.1666666666666667</v>
      </c>
      <c r="M12" s="176">
        <v>68.599999999999994</v>
      </c>
      <c r="N12" s="42">
        <v>3.2</v>
      </c>
      <c r="O12" s="11">
        <v>1.2</v>
      </c>
      <c r="P12" s="40">
        <v>4.4000000000000004</v>
      </c>
      <c r="Q12" s="19">
        <v>1.3</v>
      </c>
      <c r="R12" s="56">
        <v>0.3</v>
      </c>
      <c r="S12" s="47">
        <v>1.4</v>
      </c>
      <c r="T12" s="51">
        <v>0.9</v>
      </c>
      <c r="U12" s="42">
        <v>2.6</v>
      </c>
      <c r="V12" s="58" t="s">
        <v>28</v>
      </c>
      <c r="W12" s="130" t="s">
        <v>117</v>
      </c>
      <c r="X12" s="213">
        <v>8.9</v>
      </c>
    </row>
    <row r="13" spans="1:24" ht="18.75" customHeight="1">
      <c r="A13" s="94" t="s">
        <v>118</v>
      </c>
      <c r="B13" s="52" t="s">
        <v>27</v>
      </c>
      <c r="C13" s="57">
        <v>19</v>
      </c>
      <c r="D13" s="210">
        <v>5.2</v>
      </c>
      <c r="E13" s="26">
        <f>35/19</f>
        <v>1.8421052631578947</v>
      </c>
      <c r="F13" s="6">
        <f>70/19</f>
        <v>3.6842105263157894</v>
      </c>
      <c r="G13" s="177">
        <v>50</v>
      </c>
      <c r="H13" s="30">
        <f>7/19</f>
        <v>0.36842105263157893</v>
      </c>
      <c r="I13" s="6">
        <f>25/19</f>
        <v>1.3157894736842106</v>
      </c>
      <c r="J13" s="167">
        <v>28</v>
      </c>
      <c r="K13" s="26">
        <f>8/19</f>
        <v>0.42105263157894735</v>
      </c>
      <c r="L13" s="6">
        <f>12/19</f>
        <v>0.63157894736842102</v>
      </c>
      <c r="M13" s="175">
        <v>66.7</v>
      </c>
      <c r="N13" s="43">
        <v>1.4</v>
      </c>
      <c r="O13" s="6">
        <v>1</v>
      </c>
      <c r="P13" s="37">
        <v>2.4</v>
      </c>
      <c r="Q13" s="20">
        <v>0.7</v>
      </c>
      <c r="R13" s="57">
        <v>0</v>
      </c>
      <c r="S13" s="49">
        <v>0.6</v>
      </c>
      <c r="T13" s="52">
        <v>0.4</v>
      </c>
      <c r="U13" s="43">
        <v>1.2</v>
      </c>
      <c r="V13" s="59" t="s">
        <v>28</v>
      </c>
      <c r="W13" s="129" t="s">
        <v>119</v>
      </c>
      <c r="X13" s="214">
        <v>5.4</v>
      </c>
    </row>
    <row r="14" spans="1:24" ht="18.75" customHeight="1">
      <c r="A14" s="127" t="s">
        <v>120</v>
      </c>
      <c r="B14" s="51" t="s">
        <v>27</v>
      </c>
      <c r="C14" s="56">
        <v>10</v>
      </c>
      <c r="D14" s="209">
        <v>4.4000000000000004</v>
      </c>
      <c r="E14" s="25">
        <v>1.4</v>
      </c>
      <c r="F14" s="12">
        <v>1.7</v>
      </c>
      <c r="G14" s="176">
        <v>82.4</v>
      </c>
      <c r="H14" s="42">
        <v>0.2</v>
      </c>
      <c r="I14" s="11">
        <v>0.4</v>
      </c>
      <c r="J14" s="216">
        <v>50</v>
      </c>
      <c r="K14" s="25">
        <v>1</v>
      </c>
      <c r="L14" s="12">
        <v>1.3</v>
      </c>
      <c r="M14" s="176">
        <v>76.900000000000006</v>
      </c>
      <c r="N14" s="42">
        <v>1.4</v>
      </c>
      <c r="O14" s="11">
        <v>0.4</v>
      </c>
      <c r="P14" s="40">
        <v>1.8</v>
      </c>
      <c r="Q14" s="19">
        <v>0.2</v>
      </c>
      <c r="R14" s="56">
        <v>0.5</v>
      </c>
      <c r="S14" s="47">
        <v>0.5</v>
      </c>
      <c r="T14" s="51">
        <v>0.1</v>
      </c>
      <c r="U14" s="42">
        <v>2.1</v>
      </c>
      <c r="V14" s="58" t="s">
        <v>28</v>
      </c>
      <c r="W14" s="130" t="s">
        <v>121</v>
      </c>
      <c r="X14" s="213">
        <v>4.9000000000000004</v>
      </c>
    </row>
    <row r="15" spans="1:24" ht="18.75" customHeight="1">
      <c r="A15" s="94" t="s">
        <v>122</v>
      </c>
      <c r="B15" s="52" t="s">
        <v>27</v>
      </c>
      <c r="C15" s="57">
        <v>34</v>
      </c>
      <c r="D15" s="210">
        <v>4.9000000000000004</v>
      </c>
      <c r="E15" s="26">
        <f>18/34</f>
        <v>0.52941176470588236</v>
      </c>
      <c r="F15" s="6">
        <f>42/34</f>
        <v>1.2352941176470589</v>
      </c>
      <c r="G15" s="175">
        <v>42.9</v>
      </c>
      <c r="H15" s="30">
        <f>36/34</f>
        <v>1.0588235294117647</v>
      </c>
      <c r="I15" s="6">
        <f>95/34</f>
        <v>2.7941176470588234</v>
      </c>
      <c r="J15" s="167">
        <v>37.9</v>
      </c>
      <c r="K15" s="26">
        <f>24/34</f>
        <v>0.70588235294117652</v>
      </c>
      <c r="L15" s="6">
        <f>35/34</f>
        <v>1.0294117647058822</v>
      </c>
      <c r="M15" s="175">
        <v>68.599999999999994</v>
      </c>
      <c r="N15" s="43">
        <v>0.9</v>
      </c>
      <c r="O15" s="7">
        <v>0.4</v>
      </c>
      <c r="P15" s="37">
        <v>1.3</v>
      </c>
      <c r="Q15" s="20">
        <v>1.4</v>
      </c>
      <c r="R15" s="57">
        <v>0</v>
      </c>
      <c r="S15" s="49">
        <v>0.6</v>
      </c>
      <c r="T15" s="52">
        <v>0.5</v>
      </c>
      <c r="U15" s="43">
        <v>1.8</v>
      </c>
      <c r="V15" s="59" t="s">
        <v>28</v>
      </c>
      <c r="W15" s="129" t="s">
        <v>89</v>
      </c>
      <c r="X15" s="214">
        <v>4.2</v>
      </c>
    </row>
    <row r="16" spans="1:24" ht="18.75" customHeight="1">
      <c r="A16" s="127" t="s">
        <v>123</v>
      </c>
      <c r="B16" s="51" t="s">
        <v>33</v>
      </c>
      <c r="C16" s="56">
        <v>5</v>
      </c>
      <c r="D16" s="209">
        <v>4.8</v>
      </c>
      <c r="E16" s="25">
        <v>2</v>
      </c>
      <c r="F16" s="12">
        <f>22/5</f>
        <v>4.4000000000000004</v>
      </c>
      <c r="G16" s="176">
        <v>45.5</v>
      </c>
      <c r="H16" s="42">
        <v>0</v>
      </c>
      <c r="I16" s="11">
        <f>1/5</f>
        <v>0.2</v>
      </c>
      <c r="J16" s="165">
        <v>0</v>
      </c>
      <c r="K16" s="47">
        <f>4/5</f>
        <v>0.8</v>
      </c>
      <c r="L16" s="11">
        <f>7/5</f>
        <v>1.4</v>
      </c>
      <c r="M16" s="176">
        <v>57.1</v>
      </c>
      <c r="N16" s="42">
        <f>13/5</f>
        <v>2.6</v>
      </c>
      <c r="O16" s="11">
        <f>2/5</f>
        <v>0.4</v>
      </c>
      <c r="P16" s="40">
        <f>15/5</f>
        <v>3</v>
      </c>
      <c r="Q16" s="19">
        <v>0.6</v>
      </c>
      <c r="R16" s="56">
        <v>0.6</v>
      </c>
      <c r="S16" s="25">
        <v>1</v>
      </c>
      <c r="T16" s="51">
        <v>0</v>
      </c>
      <c r="U16" s="42">
        <v>2.4</v>
      </c>
      <c r="V16" s="58" t="s">
        <v>28</v>
      </c>
      <c r="W16" s="130" t="s">
        <v>124</v>
      </c>
      <c r="X16" s="213">
        <v>3.6</v>
      </c>
    </row>
    <row r="17" spans="1:35" ht="18.75" customHeight="1">
      <c r="A17" s="94" t="s">
        <v>125</v>
      </c>
      <c r="B17" s="52" t="s">
        <v>27</v>
      </c>
      <c r="C17" s="57">
        <v>30</v>
      </c>
      <c r="D17" s="210">
        <v>2.2999999999999998</v>
      </c>
      <c r="E17" s="26">
        <f>23/30</f>
        <v>0.76666666666666672</v>
      </c>
      <c r="F17" s="6">
        <f>40/30</f>
        <v>1.3333333333333333</v>
      </c>
      <c r="G17" s="175">
        <v>57.5</v>
      </c>
      <c r="H17" s="30">
        <f>2/30</f>
        <v>6.6666666666666666E-2</v>
      </c>
      <c r="I17" s="6">
        <f>13/30</f>
        <v>0.43333333333333335</v>
      </c>
      <c r="J17" s="167">
        <v>15.4</v>
      </c>
      <c r="K17" s="26">
        <f>16/30</f>
        <v>0.53333333333333333</v>
      </c>
      <c r="L17" s="6">
        <f>27/30</f>
        <v>0.9</v>
      </c>
      <c r="M17" s="175">
        <v>59.3</v>
      </c>
      <c r="N17" s="43">
        <v>1.5</v>
      </c>
      <c r="O17" s="7">
        <v>0.7</v>
      </c>
      <c r="P17" s="37">
        <v>2.2999999999999998</v>
      </c>
      <c r="Q17" s="20">
        <v>0.5</v>
      </c>
      <c r="R17" s="57">
        <v>0.1</v>
      </c>
      <c r="S17" s="49">
        <v>0.6</v>
      </c>
      <c r="T17" s="52">
        <v>0.2</v>
      </c>
      <c r="U17" s="43">
        <v>1.1000000000000001</v>
      </c>
      <c r="V17" s="59" t="s">
        <v>28</v>
      </c>
      <c r="W17" s="129" t="s">
        <v>121</v>
      </c>
      <c r="X17" s="214">
        <v>3.1</v>
      </c>
    </row>
    <row r="18" spans="1:35" ht="18.75" customHeight="1">
      <c r="A18" s="127" t="s">
        <v>126</v>
      </c>
      <c r="B18" s="51" t="s">
        <v>27</v>
      </c>
      <c r="C18" s="56">
        <v>27</v>
      </c>
      <c r="D18" s="209">
        <v>1.6</v>
      </c>
      <c r="E18" s="25">
        <f>7/27</f>
        <v>0.25925925925925924</v>
      </c>
      <c r="F18" s="12">
        <f>16/27</f>
        <v>0.59259259259259256</v>
      </c>
      <c r="G18" s="176">
        <v>43.8</v>
      </c>
      <c r="H18" s="29">
        <f>7/27</f>
        <v>0.25925925925925924</v>
      </c>
      <c r="I18" s="12">
        <v>1</v>
      </c>
      <c r="J18" s="216">
        <v>25.9</v>
      </c>
      <c r="K18" s="25">
        <f>9/27</f>
        <v>0.33333333333333331</v>
      </c>
      <c r="L18" s="12">
        <f>12/27</f>
        <v>0.44444444444444442</v>
      </c>
      <c r="M18" s="174">
        <v>75</v>
      </c>
      <c r="N18" s="42">
        <v>0.6</v>
      </c>
      <c r="O18" s="11">
        <v>0.1</v>
      </c>
      <c r="P18" s="40">
        <v>0.7</v>
      </c>
      <c r="Q18" s="19">
        <v>0.7</v>
      </c>
      <c r="R18" s="56">
        <v>0</v>
      </c>
      <c r="S18" s="47">
        <v>0.3</v>
      </c>
      <c r="T18" s="51">
        <v>0.3</v>
      </c>
      <c r="U18" s="42">
        <v>0.7</v>
      </c>
      <c r="V18" s="58" t="s">
        <v>28</v>
      </c>
      <c r="W18" s="130" t="s">
        <v>60</v>
      </c>
      <c r="X18" s="213">
        <v>1.5</v>
      </c>
    </row>
    <row r="19" spans="1:35" ht="18.75" customHeight="1">
      <c r="A19" s="94" t="s">
        <v>127</v>
      </c>
      <c r="B19" s="52" t="s">
        <v>59</v>
      </c>
      <c r="C19" s="57">
        <v>20</v>
      </c>
      <c r="D19" s="210">
        <v>1.6</v>
      </c>
      <c r="E19" s="26">
        <f>12/20</f>
        <v>0.6</v>
      </c>
      <c r="F19" s="6">
        <f>22/20</f>
        <v>1.1000000000000001</v>
      </c>
      <c r="G19" s="175">
        <v>54.5</v>
      </c>
      <c r="H19" s="43">
        <v>0</v>
      </c>
      <c r="I19" s="6">
        <f>1/20</f>
        <v>0.05</v>
      </c>
      <c r="J19" s="217">
        <v>0</v>
      </c>
      <c r="K19" s="26">
        <f>8/20</f>
        <v>0.4</v>
      </c>
      <c r="L19" s="6">
        <f>17/20</f>
        <v>0.85</v>
      </c>
      <c r="M19" s="175">
        <v>47.1</v>
      </c>
      <c r="N19" s="43">
        <v>0.8</v>
      </c>
      <c r="O19" s="7">
        <v>0.6</v>
      </c>
      <c r="P19" s="37">
        <v>1.3</v>
      </c>
      <c r="Q19" s="20">
        <v>0.3</v>
      </c>
      <c r="R19" s="57">
        <v>0.2</v>
      </c>
      <c r="S19" s="49">
        <v>0.6</v>
      </c>
      <c r="T19" s="52">
        <v>0.1</v>
      </c>
      <c r="U19" s="30">
        <v>1</v>
      </c>
      <c r="V19" s="59" t="s">
        <v>28</v>
      </c>
      <c r="W19" s="129" t="s">
        <v>128</v>
      </c>
      <c r="X19" s="214">
        <v>1.3</v>
      </c>
    </row>
    <row r="20" spans="1:35" ht="18.75" customHeight="1">
      <c r="A20" s="128" t="s">
        <v>129</v>
      </c>
      <c r="B20" s="75" t="s">
        <v>27</v>
      </c>
      <c r="C20" s="73">
        <v>26</v>
      </c>
      <c r="D20" s="223">
        <v>1</v>
      </c>
      <c r="E20" s="68">
        <f>8/26</f>
        <v>0.30769230769230771</v>
      </c>
      <c r="F20" s="69">
        <f>22/26</f>
        <v>0.84615384615384615</v>
      </c>
      <c r="G20" s="224">
        <v>36.4</v>
      </c>
      <c r="H20" s="71">
        <v>0</v>
      </c>
      <c r="I20" s="69">
        <f>4/26</f>
        <v>0.15384615384615385</v>
      </c>
      <c r="J20" s="225">
        <v>0</v>
      </c>
      <c r="K20" s="68">
        <f>11/26</f>
        <v>0.42307692307692307</v>
      </c>
      <c r="L20" s="69">
        <f>22/26</f>
        <v>0.84615384615384615</v>
      </c>
      <c r="M20" s="178">
        <v>50</v>
      </c>
      <c r="N20" s="71">
        <v>0.8</v>
      </c>
      <c r="O20" s="72">
        <v>0.2</v>
      </c>
      <c r="P20" s="226">
        <v>1.1000000000000001</v>
      </c>
      <c r="Q20" s="67">
        <v>0.2</v>
      </c>
      <c r="R20" s="73">
        <v>0.1</v>
      </c>
      <c r="S20" s="74">
        <v>0.3</v>
      </c>
      <c r="T20" s="75">
        <v>0.2</v>
      </c>
      <c r="U20" s="71">
        <v>0.9</v>
      </c>
      <c r="V20" s="76" t="s">
        <v>28</v>
      </c>
      <c r="W20" s="227" t="s">
        <v>130</v>
      </c>
      <c r="X20" s="228">
        <v>0.8</v>
      </c>
    </row>
    <row r="21" spans="1:35" s="2" customFormat="1" ht="18.75" customHeight="1">
      <c r="A21" s="448" t="s">
        <v>131</v>
      </c>
      <c r="B21" s="449"/>
      <c r="C21" s="88">
        <v>34</v>
      </c>
      <c r="D21" s="229">
        <v>82.6</v>
      </c>
      <c r="E21" s="80">
        <v>25.9</v>
      </c>
      <c r="F21" s="81">
        <f>SUM(F7:F19)</f>
        <v>47.267090622798833</v>
      </c>
      <c r="G21" s="83">
        <v>53.8</v>
      </c>
      <c r="H21" s="230">
        <v>11.1</v>
      </c>
      <c r="I21" s="81">
        <v>31.8</v>
      </c>
      <c r="J21" s="82">
        <v>34.9</v>
      </c>
      <c r="K21" s="80">
        <v>18.2</v>
      </c>
      <c r="L21" s="81">
        <v>24.7</v>
      </c>
      <c r="M21" s="83">
        <v>73.7</v>
      </c>
      <c r="N21" s="84">
        <v>28.8</v>
      </c>
      <c r="O21" s="85">
        <v>9.1</v>
      </c>
      <c r="P21" s="86">
        <v>35.9</v>
      </c>
      <c r="Q21" s="87">
        <v>15</v>
      </c>
      <c r="R21" s="88">
        <v>2.5</v>
      </c>
      <c r="S21" s="89">
        <v>12.2</v>
      </c>
      <c r="T21" s="90">
        <v>5.9</v>
      </c>
      <c r="U21" s="88">
        <v>18.2</v>
      </c>
      <c r="V21" s="125"/>
      <c r="W21" s="92"/>
      <c r="X21" s="231">
        <v>88.9</v>
      </c>
      <c r="Y21"/>
    </row>
    <row r="22" spans="1:35" s="2" customFormat="1" ht="18.75" customHeight="1">
      <c r="A22" s="461" t="s">
        <v>62</v>
      </c>
      <c r="B22" s="464"/>
      <c r="C22" s="219">
        <v>34</v>
      </c>
      <c r="D22" s="220">
        <v>78.099999999999994</v>
      </c>
      <c r="E22" s="457"/>
      <c r="F22" s="458"/>
      <c r="G22" s="221">
        <v>50.5</v>
      </c>
      <c r="H22" s="467"/>
      <c r="I22" s="460"/>
      <c r="J22" s="204">
        <v>32.9</v>
      </c>
      <c r="K22" s="205"/>
      <c r="L22" s="206"/>
      <c r="M22" s="206"/>
      <c r="N22" s="206"/>
      <c r="O22" s="206"/>
      <c r="P22" s="206"/>
      <c r="Q22" s="206"/>
      <c r="R22" s="206"/>
      <c r="S22" s="206"/>
      <c r="T22" s="206"/>
      <c r="U22" s="206"/>
      <c r="V22" s="206"/>
      <c r="W22" s="222"/>
      <c r="X22" s="207"/>
      <c r="Y22"/>
    </row>
    <row r="23" spans="1:35" s="2" customFormat="1" ht="18.75" customHeight="1">
      <c r="A23" s="456" t="s">
        <v>132</v>
      </c>
      <c r="B23" s="456"/>
      <c r="C23" s="456"/>
      <c r="D23" s="456"/>
      <c r="E23" s="456"/>
      <c r="F23" s="456"/>
      <c r="G23" s="456"/>
      <c r="H23" s="456"/>
      <c r="I23" s="456"/>
      <c r="J23" s="456"/>
      <c r="K23" s="456"/>
      <c r="L23" s="456"/>
      <c r="M23" s="456"/>
      <c r="N23" s="456"/>
      <c r="O23" s="456"/>
      <c r="P23" s="456"/>
      <c r="Q23" s="456"/>
      <c r="R23" s="456"/>
      <c r="S23" s="456"/>
      <c r="T23" s="456"/>
      <c r="U23" s="456"/>
      <c r="V23" s="456"/>
      <c r="W23" s="456"/>
      <c r="X23" s="456"/>
      <c r="Y23"/>
    </row>
    <row r="24" spans="1:35" s="2" customFormat="1" ht="18.75" customHeight="1">
      <c r="A24" s="453" t="s">
        <v>133</v>
      </c>
      <c r="B24" s="453"/>
      <c r="C24" s="453"/>
      <c r="D24" s="453"/>
      <c r="E24" s="453"/>
      <c r="F24" s="453"/>
      <c r="G24" s="453"/>
      <c r="H24" s="453"/>
      <c r="I24" s="453"/>
      <c r="J24" s="453"/>
      <c r="K24" s="453"/>
      <c r="L24" s="453"/>
      <c r="M24" s="453"/>
      <c r="N24" s="453"/>
      <c r="O24" s="453"/>
      <c r="P24" s="453"/>
      <c r="Q24" s="453"/>
      <c r="R24" s="453"/>
      <c r="S24" s="453"/>
      <c r="T24" s="453"/>
      <c r="U24" s="453"/>
      <c r="V24" s="453"/>
      <c r="W24" s="453"/>
      <c r="X24" s="453"/>
      <c r="Y24"/>
    </row>
    <row r="25" spans="1:35" s="2" customFormat="1" ht="18.75" customHeight="1">
      <c r="A25" s="454" t="s">
        <v>65</v>
      </c>
      <c r="B25" s="454"/>
      <c r="C25" s="454"/>
      <c r="D25" s="454"/>
      <c r="E25" s="454"/>
      <c r="F25" s="454"/>
      <c r="G25" s="454"/>
      <c r="H25" s="454"/>
      <c r="I25" s="454"/>
      <c r="J25" s="454"/>
      <c r="K25" s="454"/>
      <c r="L25" s="454"/>
      <c r="M25" s="454"/>
      <c r="N25" s="454"/>
      <c r="O25" s="454"/>
      <c r="P25" s="454"/>
      <c r="Q25" s="454"/>
      <c r="R25" s="454"/>
      <c r="S25" s="454"/>
      <c r="T25" s="454"/>
      <c r="U25" s="454"/>
      <c r="V25" s="454"/>
      <c r="W25" s="454"/>
      <c r="X25" s="454"/>
      <c r="Y25"/>
      <c r="AI25" s="3"/>
    </row>
    <row r="27" spans="1:35" ht="21" customHeight="1"/>
  </sheetData>
  <mergeCells count="25">
    <mergeCell ref="A24:X24"/>
    <mergeCell ref="A25:X25"/>
    <mergeCell ref="W5:W6"/>
    <mergeCell ref="N5:P5"/>
    <mergeCell ref="R5:R6"/>
    <mergeCell ref="S5:T5"/>
    <mergeCell ref="C5:C6"/>
    <mergeCell ref="K5:M5"/>
    <mergeCell ref="X5:X6"/>
    <mergeCell ref="B5:B6"/>
    <mergeCell ref="A23:X23"/>
    <mergeCell ref="U5:V5"/>
    <mergeCell ref="E5:G5"/>
    <mergeCell ref="Q5:Q6"/>
    <mergeCell ref="A21:B21"/>
    <mergeCell ref="T1:X4"/>
    <mergeCell ref="B1:S2"/>
    <mergeCell ref="B3:S4"/>
    <mergeCell ref="A22:B22"/>
    <mergeCell ref="A5:A6"/>
    <mergeCell ref="H5:J5"/>
    <mergeCell ref="A1:A4"/>
    <mergeCell ref="D5:D6"/>
    <mergeCell ref="H22:I22"/>
    <mergeCell ref="E22:F22"/>
  </mergeCells>
  <pageMargins left="0.25" right="0.25" top="0.75" bottom="0.75" header="0.3" footer="0.3"/>
  <pageSetup paperSize="5" orientation="landscape" horizontalDpi="90" verticalDpi="9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-0.499984740745262"/>
  </sheetPr>
  <dimension ref="A1:AI28"/>
  <sheetViews>
    <sheetView zoomScale="106" zoomScaleNormal="106" workbookViewId="0">
      <selection activeCell="B1" sqref="B1:S2"/>
    </sheetView>
  </sheetViews>
  <sheetFormatPr defaultColWidth="9.140625" defaultRowHeight="15"/>
  <cols>
    <col min="1" max="1" width="25.140625" customWidth="1"/>
    <col min="2" max="2" width="5.7109375" customWidth="1"/>
    <col min="3" max="3" width="5.7109375" style="1" customWidth="1"/>
    <col min="4" max="4" width="6.140625" style="1" customWidth="1"/>
    <col min="5" max="23" width="5.7109375" style="1" customWidth="1"/>
    <col min="24" max="24" width="6.140625" style="1" customWidth="1"/>
    <col min="25" max="255" width="11.42578125" customWidth="1"/>
  </cols>
  <sheetData>
    <row r="1" spans="1:24" ht="14.25" customHeight="1">
      <c r="A1" s="471"/>
      <c r="B1" s="421" t="s">
        <v>134</v>
      </c>
      <c r="C1" s="421"/>
      <c r="D1" s="421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1"/>
      <c r="Q1" s="421"/>
      <c r="R1" s="421"/>
      <c r="S1" s="421"/>
      <c r="T1" s="409"/>
      <c r="U1" s="409"/>
      <c r="V1" s="409"/>
      <c r="W1" s="409"/>
      <c r="X1" s="410"/>
    </row>
    <row r="2" spans="1:24" ht="14.25" customHeight="1">
      <c r="A2" s="472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11"/>
      <c r="U2" s="411"/>
      <c r="V2" s="411"/>
      <c r="W2" s="411"/>
      <c r="X2" s="412"/>
    </row>
    <row r="3" spans="1:24" ht="15" customHeight="1">
      <c r="A3" s="472"/>
      <c r="B3" s="473" t="s">
        <v>135</v>
      </c>
      <c r="C3" s="473"/>
      <c r="D3" s="473"/>
      <c r="E3" s="473"/>
      <c r="F3" s="473"/>
      <c r="G3" s="473"/>
      <c r="H3" s="473"/>
      <c r="I3" s="473"/>
      <c r="J3" s="473"/>
      <c r="K3" s="473"/>
      <c r="L3" s="473"/>
      <c r="M3" s="473"/>
      <c r="N3" s="473"/>
      <c r="O3" s="473"/>
      <c r="P3" s="473"/>
      <c r="Q3" s="473"/>
      <c r="R3" s="473"/>
      <c r="S3" s="473"/>
      <c r="T3" s="411"/>
      <c r="U3" s="411"/>
      <c r="V3" s="411"/>
      <c r="W3" s="411"/>
      <c r="X3" s="412"/>
    </row>
    <row r="4" spans="1:24" ht="15.75" customHeight="1">
      <c r="A4" s="472"/>
      <c r="B4" s="473"/>
      <c r="C4" s="473"/>
      <c r="D4" s="473"/>
      <c r="E4" s="473"/>
      <c r="F4" s="473"/>
      <c r="G4" s="473"/>
      <c r="H4" s="473"/>
      <c r="I4" s="473"/>
      <c r="J4" s="473"/>
      <c r="K4" s="473"/>
      <c r="L4" s="473"/>
      <c r="M4" s="473"/>
      <c r="N4" s="473"/>
      <c r="O4" s="473"/>
      <c r="P4" s="473"/>
      <c r="Q4" s="473"/>
      <c r="R4" s="473"/>
      <c r="S4" s="473"/>
      <c r="T4" s="411"/>
      <c r="U4" s="411"/>
      <c r="V4" s="411"/>
      <c r="W4" s="411"/>
      <c r="X4" s="412"/>
    </row>
    <row r="5" spans="1:24" ht="15" customHeight="1">
      <c r="A5" s="413" t="s">
        <v>2</v>
      </c>
      <c r="B5" s="430" t="s">
        <v>3</v>
      </c>
      <c r="C5" s="415" t="s">
        <v>4</v>
      </c>
      <c r="D5" s="468" t="s">
        <v>5</v>
      </c>
      <c r="E5" s="434" t="s">
        <v>6</v>
      </c>
      <c r="F5" s="435"/>
      <c r="G5" s="427"/>
      <c r="H5" s="426" t="s">
        <v>7</v>
      </c>
      <c r="I5" s="435"/>
      <c r="J5" s="430"/>
      <c r="K5" s="434" t="s">
        <v>8</v>
      </c>
      <c r="L5" s="435"/>
      <c r="M5" s="427"/>
      <c r="N5" s="428" t="s">
        <v>9</v>
      </c>
      <c r="O5" s="439"/>
      <c r="P5" s="429"/>
      <c r="Q5" s="415" t="s">
        <v>10</v>
      </c>
      <c r="R5" s="468" t="s">
        <v>11</v>
      </c>
      <c r="S5" s="434" t="s">
        <v>12</v>
      </c>
      <c r="T5" s="427"/>
      <c r="U5" s="428" t="s">
        <v>13</v>
      </c>
      <c r="V5" s="429"/>
      <c r="W5" s="475" t="s">
        <v>14</v>
      </c>
      <c r="X5" s="468" t="s">
        <v>15</v>
      </c>
    </row>
    <row r="6" spans="1:24" ht="15" customHeight="1">
      <c r="A6" s="414"/>
      <c r="B6" s="431"/>
      <c r="C6" s="416"/>
      <c r="D6" s="438"/>
      <c r="E6" s="135" t="s">
        <v>16</v>
      </c>
      <c r="F6" s="134" t="s">
        <v>17</v>
      </c>
      <c r="G6" s="136" t="s">
        <v>18</v>
      </c>
      <c r="H6" s="133" t="s">
        <v>16</v>
      </c>
      <c r="I6" s="134" t="s">
        <v>17</v>
      </c>
      <c r="J6" s="132" t="s">
        <v>18</v>
      </c>
      <c r="K6" s="135" t="s">
        <v>16</v>
      </c>
      <c r="L6" s="134" t="s">
        <v>17</v>
      </c>
      <c r="M6" s="136" t="s">
        <v>18</v>
      </c>
      <c r="N6" s="145" t="s">
        <v>19</v>
      </c>
      <c r="O6" s="141" t="s">
        <v>20</v>
      </c>
      <c r="P6" s="146" t="s">
        <v>21</v>
      </c>
      <c r="Q6" s="416"/>
      <c r="R6" s="438"/>
      <c r="S6" s="135" t="s">
        <v>22</v>
      </c>
      <c r="T6" s="136" t="s">
        <v>23</v>
      </c>
      <c r="U6" s="145" t="s">
        <v>24</v>
      </c>
      <c r="V6" s="146" t="s">
        <v>25</v>
      </c>
      <c r="W6" s="476"/>
      <c r="X6" s="438"/>
    </row>
    <row r="7" spans="1:24" ht="18.75" customHeight="1">
      <c r="A7" s="94" t="s">
        <v>136</v>
      </c>
      <c r="B7" s="52" t="s">
        <v>33</v>
      </c>
      <c r="C7" s="57">
        <v>25</v>
      </c>
      <c r="D7" s="232">
        <v>18</v>
      </c>
      <c r="E7" s="30">
        <f>77/25</f>
        <v>3.08</v>
      </c>
      <c r="F7" s="6">
        <f>134/25</f>
        <v>5.36</v>
      </c>
      <c r="G7" s="167">
        <v>57.5</v>
      </c>
      <c r="H7" s="26">
        <f>80/25</f>
        <v>3.2</v>
      </c>
      <c r="I7" s="6">
        <f>184/25</f>
        <v>7.36</v>
      </c>
      <c r="J7" s="177">
        <v>43.5</v>
      </c>
      <c r="K7" s="30">
        <f>55/25</f>
        <v>2.2000000000000002</v>
      </c>
      <c r="L7" s="6">
        <f>69/25</f>
        <v>2.76</v>
      </c>
      <c r="M7" s="166">
        <v>79.7</v>
      </c>
      <c r="N7" s="49">
        <v>1.6</v>
      </c>
      <c r="O7" s="6">
        <v>0.5</v>
      </c>
      <c r="P7" s="27">
        <v>2</v>
      </c>
      <c r="Q7" s="57">
        <v>1.9</v>
      </c>
      <c r="R7" s="20">
        <v>0</v>
      </c>
      <c r="S7" s="30">
        <v>1</v>
      </c>
      <c r="T7" s="23">
        <v>0.6</v>
      </c>
      <c r="U7" s="49">
        <v>1.4</v>
      </c>
      <c r="V7" s="100" t="s">
        <v>28</v>
      </c>
      <c r="W7" s="57" t="s">
        <v>137</v>
      </c>
      <c r="X7" s="232">
        <v>15</v>
      </c>
    </row>
    <row r="8" spans="1:24" ht="18.75" customHeight="1">
      <c r="A8" s="127" t="s">
        <v>138</v>
      </c>
      <c r="B8" s="51" t="s">
        <v>33</v>
      </c>
      <c r="C8" s="56">
        <v>2</v>
      </c>
      <c r="D8" s="233">
        <v>10.5</v>
      </c>
      <c r="E8" s="29">
        <v>4</v>
      </c>
      <c r="F8" s="12">
        <v>9</v>
      </c>
      <c r="G8" s="165">
        <v>44.4</v>
      </c>
      <c r="H8" s="47">
        <v>0</v>
      </c>
      <c r="I8" s="12">
        <v>0</v>
      </c>
      <c r="J8" s="236">
        <v>0</v>
      </c>
      <c r="K8" s="29">
        <v>2.5</v>
      </c>
      <c r="L8" s="12">
        <v>6.5</v>
      </c>
      <c r="M8" s="165">
        <v>38.5</v>
      </c>
      <c r="N8" s="47">
        <v>5.5</v>
      </c>
      <c r="O8" s="12">
        <v>3</v>
      </c>
      <c r="P8" s="33">
        <v>8.5</v>
      </c>
      <c r="Q8" s="56">
        <v>1.5</v>
      </c>
      <c r="R8" s="19">
        <v>0.5</v>
      </c>
      <c r="S8" s="42">
        <v>0.5</v>
      </c>
      <c r="T8" s="22">
        <v>0</v>
      </c>
      <c r="U8" s="25">
        <v>1</v>
      </c>
      <c r="V8" s="99" t="s">
        <v>28</v>
      </c>
      <c r="W8" s="56" t="s">
        <v>139</v>
      </c>
      <c r="X8" s="233">
        <v>13.5</v>
      </c>
    </row>
    <row r="9" spans="1:24" ht="18.75" customHeight="1">
      <c r="A9" s="94" t="s">
        <v>140</v>
      </c>
      <c r="B9" s="52" t="s">
        <v>27</v>
      </c>
      <c r="C9" s="57">
        <v>19</v>
      </c>
      <c r="D9" s="234">
        <v>10.4</v>
      </c>
      <c r="E9" s="30">
        <f>49/19</f>
        <v>2.5789473684210527</v>
      </c>
      <c r="F9" s="6">
        <f>94/19</f>
        <v>4.9473684210526319</v>
      </c>
      <c r="G9" s="166">
        <v>52.1</v>
      </c>
      <c r="H9" s="26">
        <f>17/19</f>
        <v>0.89473684210526316</v>
      </c>
      <c r="I9" s="6">
        <f>77/19</f>
        <v>4.0526315789473681</v>
      </c>
      <c r="J9" s="177">
        <v>22.1</v>
      </c>
      <c r="K9" s="30">
        <f>49/19</f>
        <v>2.5789473684210527</v>
      </c>
      <c r="L9" s="6">
        <f>66/19</f>
        <v>3.4736842105263159</v>
      </c>
      <c r="M9" s="166">
        <v>74.2</v>
      </c>
      <c r="N9" s="49">
        <v>2.8</v>
      </c>
      <c r="O9" s="7">
        <v>0.7</v>
      </c>
      <c r="P9" s="27">
        <v>3.5</v>
      </c>
      <c r="Q9" s="57">
        <v>5.9</v>
      </c>
      <c r="R9" s="20">
        <v>0.1</v>
      </c>
      <c r="S9" s="43">
        <v>2.9</v>
      </c>
      <c r="T9" s="23">
        <v>1.5</v>
      </c>
      <c r="U9" s="49">
        <v>1.7</v>
      </c>
      <c r="V9" s="100" t="s">
        <v>28</v>
      </c>
      <c r="W9" s="57" t="s">
        <v>141</v>
      </c>
      <c r="X9" s="234">
        <v>13.1</v>
      </c>
    </row>
    <row r="10" spans="1:24" ht="18.75" customHeight="1">
      <c r="A10" s="127" t="s">
        <v>142</v>
      </c>
      <c r="B10" s="51" t="s">
        <v>27</v>
      </c>
      <c r="C10" s="56">
        <v>25</v>
      </c>
      <c r="D10" s="233">
        <v>10.199999999999999</v>
      </c>
      <c r="E10" s="29">
        <f>58/25</f>
        <v>2.3199999999999998</v>
      </c>
      <c r="F10" s="12">
        <f>85/25</f>
        <v>3.4</v>
      </c>
      <c r="G10" s="165">
        <v>68.2</v>
      </c>
      <c r="H10" s="25">
        <f>32/25</f>
        <v>1.28</v>
      </c>
      <c r="I10" s="12">
        <f>84/25</f>
        <v>3.36</v>
      </c>
      <c r="J10" s="174">
        <v>38.1</v>
      </c>
      <c r="K10" s="29">
        <f>42/25</f>
        <v>1.68</v>
      </c>
      <c r="L10" s="12">
        <f>75/25</f>
        <v>3</v>
      </c>
      <c r="M10" s="216">
        <v>56</v>
      </c>
      <c r="N10" s="47">
        <v>4.2</v>
      </c>
      <c r="O10" s="11">
        <v>1.8</v>
      </c>
      <c r="P10" s="33">
        <v>6</v>
      </c>
      <c r="Q10" s="56">
        <v>1.2</v>
      </c>
      <c r="R10" s="19">
        <v>0.1</v>
      </c>
      <c r="S10" s="42">
        <v>1.4</v>
      </c>
      <c r="T10" s="22">
        <v>0.7</v>
      </c>
      <c r="U10" s="47">
        <v>2.2999999999999998</v>
      </c>
      <c r="V10" s="99" t="s">
        <v>28</v>
      </c>
      <c r="W10" s="56" t="s">
        <v>143</v>
      </c>
      <c r="X10" s="233">
        <v>12.3</v>
      </c>
    </row>
    <row r="11" spans="1:24" ht="18.75" customHeight="1">
      <c r="A11" s="94" t="s">
        <v>144</v>
      </c>
      <c r="B11" s="52" t="s">
        <v>33</v>
      </c>
      <c r="C11" s="57">
        <v>15</v>
      </c>
      <c r="D11" s="234">
        <v>14.1</v>
      </c>
      <c r="E11" s="30">
        <f>44/15</f>
        <v>2.9333333333333331</v>
      </c>
      <c r="F11" s="6">
        <f>90/15</f>
        <v>6</v>
      </c>
      <c r="G11" s="166">
        <v>48.9</v>
      </c>
      <c r="H11" s="26">
        <f>27/15</f>
        <v>1.8</v>
      </c>
      <c r="I11" s="6">
        <f>87/15</f>
        <v>5.8</v>
      </c>
      <c r="J11" s="177">
        <v>31</v>
      </c>
      <c r="K11" s="30">
        <f>42/15</f>
        <v>2.8</v>
      </c>
      <c r="L11" s="6">
        <f>54/15</f>
        <v>3.6</v>
      </c>
      <c r="M11" s="167">
        <v>77.8</v>
      </c>
      <c r="N11" s="49">
        <v>3.2</v>
      </c>
      <c r="O11" s="7">
        <v>0.9</v>
      </c>
      <c r="P11" s="27">
        <v>4.0999999999999996</v>
      </c>
      <c r="Q11" s="57">
        <v>1.2</v>
      </c>
      <c r="R11" s="20">
        <v>0.1</v>
      </c>
      <c r="S11" s="43">
        <v>0.8</v>
      </c>
      <c r="T11" s="23">
        <v>0.5</v>
      </c>
      <c r="U11" s="49">
        <v>2.6</v>
      </c>
      <c r="V11" s="100" t="s">
        <v>28</v>
      </c>
      <c r="W11" s="57" t="s">
        <v>46</v>
      </c>
      <c r="X11" s="234">
        <v>11.5</v>
      </c>
    </row>
    <row r="12" spans="1:24" ht="18.75" customHeight="1">
      <c r="A12" s="127" t="s">
        <v>145</v>
      </c>
      <c r="B12" s="51" t="s">
        <v>33</v>
      </c>
      <c r="C12" s="56">
        <v>24</v>
      </c>
      <c r="D12" s="233">
        <v>8.3000000000000007</v>
      </c>
      <c r="E12" s="29">
        <f>81/24</f>
        <v>3.375</v>
      </c>
      <c r="F12" s="12">
        <f>149/24</f>
        <v>6.208333333333333</v>
      </c>
      <c r="G12" s="165">
        <v>54.4</v>
      </c>
      <c r="H12" s="31">
        <v>0</v>
      </c>
      <c r="I12" s="12">
        <v>0.1</v>
      </c>
      <c r="J12" s="236">
        <v>0</v>
      </c>
      <c r="K12" s="29">
        <f>38/24</f>
        <v>1.5833333333333333</v>
      </c>
      <c r="L12" s="12">
        <f>57/24</f>
        <v>2.375</v>
      </c>
      <c r="M12" s="165">
        <v>66.7</v>
      </c>
      <c r="N12" s="47">
        <v>4.0999999999999996</v>
      </c>
      <c r="O12" s="11">
        <v>1.4</v>
      </c>
      <c r="P12" s="33">
        <v>5.5</v>
      </c>
      <c r="Q12" s="56">
        <v>1.3</v>
      </c>
      <c r="R12" s="147">
        <v>1</v>
      </c>
      <c r="S12" s="42">
        <v>1.4</v>
      </c>
      <c r="T12" s="22">
        <v>0.6</v>
      </c>
      <c r="U12" s="47">
        <v>3.1</v>
      </c>
      <c r="V12" s="99" t="s">
        <v>28</v>
      </c>
      <c r="W12" s="56" t="s">
        <v>146</v>
      </c>
      <c r="X12" s="233">
        <v>10.7</v>
      </c>
    </row>
    <row r="13" spans="1:24" ht="18.75" customHeight="1">
      <c r="A13" s="94" t="s">
        <v>147</v>
      </c>
      <c r="B13" s="52" t="s">
        <v>27</v>
      </c>
      <c r="C13" s="57">
        <v>32</v>
      </c>
      <c r="D13" s="234">
        <v>8.9</v>
      </c>
      <c r="E13" s="30">
        <f>94/32</f>
        <v>2.9375</v>
      </c>
      <c r="F13" s="6">
        <f>165/32</f>
        <v>5.15625</v>
      </c>
      <c r="G13" s="167">
        <v>57</v>
      </c>
      <c r="H13" s="26">
        <f>19/32</f>
        <v>0.59375</v>
      </c>
      <c r="I13" s="6">
        <f>60/32</f>
        <v>1.875</v>
      </c>
      <c r="J13" s="177">
        <v>31.7</v>
      </c>
      <c r="K13" s="30">
        <f>41/32</f>
        <v>1.28125</v>
      </c>
      <c r="L13" s="6">
        <f>63/32</f>
        <v>1.96875</v>
      </c>
      <c r="M13" s="167">
        <v>65.099999999999994</v>
      </c>
      <c r="N13" s="26">
        <v>4</v>
      </c>
      <c r="O13" s="7">
        <v>1.3</v>
      </c>
      <c r="P13" s="27">
        <v>5.4</v>
      </c>
      <c r="Q13" s="57">
        <v>1.7</v>
      </c>
      <c r="R13" s="20">
        <v>0.6</v>
      </c>
      <c r="S13" s="43">
        <v>2.1</v>
      </c>
      <c r="T13" s="23">
        <v>0.6</v>
      </c>
      <c r="U13" s="49">
        <v>2.5</v>
      </c>
      <c r="V13" s="100" t="s">
        <v>28</v>
      </c>
      <c r="W13" s="57" t="s">
        <v>148</v>
      </c>
      <c r="X13" s="234">
        <v>10.3</v>
      </c>
    </row>
    <row r="14" spans="1:24" ht="18.75" customHeight="1">
      <c r="A14" s="127" t="s">
        <v>149</v>
      </c>
      <c r="B14" s="51" t="s">
        <v>27</v>
      </c>
      <c r="C14" s="56">
        <v>32</v>
      </c>
      <c r="D14" s="235">
        <v>7</v>
      </c>
      <c r="E14" s="29">
        <f>38/32</f>
        <v>1.1875</v>
      </c>
      <c r="F14" s="12">
        <f>61/32</f>
        <v>1.90625</v>
      </c>
      <c r="G14" s="165">
        <v>62.3</v>
      </c>
      <c r="H14" s="25">
        <f>43/32</f>
        <v>1.34375</v>
      </c>
      <c r="I14" s="12">
        <f>135/32</f>
        <v>4.21875</v>
      </c>
      <c r="J14" s="174">
        <v>31.9</v>
      </c>
      <c r="K14" s="29">
        <f>20/32</f>
        <v>0.625</v>
      </c>
      <c r="L14" s="12">
        <f>33/32</f>
        <v>1.03125</v>
      </c>
      <c r="M14" s="165">
        <v>60.6</v>
      </c>
      <c r="N14" s="25">
        <v>3</v>
      </c>
      <c r="O14" s="11">
        <v>0.7</v>
      </c>
      <c r="P14" s="33">
        <v>3.7</v>
      </c>
      <c r="Q14" s="56">
        <v>1.2</v>
      </c>
      <c r="R14" s="19">
        <v>0.1</v>
      </c>
      <c r="S14" s="42">
        <v>0.9</v>
      </c>
      <c r="T14" s="22">
        <v>0.6</v>
      </c>
      <c r="U14" s="47">
        <v>1.8</v>
      </c>
      <c r="V14" s="99" t="s">
        <v>28</v>
      </c>
      <c r="W14" s="56" t="s">
        <v>150</v>
      </c>
      <c r="X14" s="233">
        <v>6.9</v>
      </c>
    </row>
    <row r="15" spans="1:24" ht="18.75" customHeight="1">
      <c r="A15" s="94" t="s">
        <v>151</v>
      </c>
      <c r="B15" s="52" t="s">
        <v>27</v>
      </c>
      <c r="C15" s="57">
        <v>34</v>
      </c>
      <c r="D15" s="234">
        <v>7.5</v>
      </c>
      <c r="E15" s="30">
        <f>54/34</f>
        <v>1.588235294117647</v>
      </c>
      <c r="F15" s="6">
        <f>95/34</f>
        <v>2.7941176470588234</v>
      </c>
      <c r="G15" s="166">
        <v>56.8</v>
      </c>
      <c r="H15" s="26">
        <f>28/34</f>
        <v>0.82352941176470584</v>
      </c>
      <c r="I15" s="6">
        <f>84/34</f>
        <v>2.4705882352941178</v>
      </c>
      <c r="J15" s="177">
        <v>33.299999999999997</v>
      </c>
      <c r="K15" s="30">
        <f>63/34</f>
        <v>1.8529411764705883</v>
      </c>
      <c r="L15" s="6">
        <f>71/34</f>
        <v>2.0882352941176472</v>
      </c>
      <c r="M15" s="166">
        <v>88.7</v>
      </c>
      <c r="N15" s="49">
        <v>1.2</v>
      </c>
      <c r="O15" s="7">
        <v>0.3</v>
      </c>
      <c r="P15" s="27">
        <v>1.4</v>
      </c>
      <c r="Q15" s="57">
        <v>1.5</v>
      </c>
      <c r="R15" s="20">
        <v>0</v>
      </c>
      <c r="S15" s="43">
        <v>1.2</v>
      </c>
      <c r="T15" s="23">
        <v>0.6</v>
      </c>
      <c r="U15" s="49">
        <v>1.2</v>
      </c>
      <c r="V15" s="100" t="s">
        <v>28</v>
      </c>
      <c r="W15" s="57" t="s">
        <v>152</v>
      </c>
      <c r="X15" s="234">
        <v>6.3</v>
      </c>
    </row>
    <row r="16" spans="1:24" ht="18.75" customHeight="1">
      <c r="A16" s="127" t="s">
        <v>153</v>
      </c>
      <c r="B16" s="51" t="s">
        <v>27</v>
      </c>
      <c r="C16" s="56">
        <v>34</v>
      </c>
      <c r="D16" s="233">
        <v>4.5</v>
      </c>
      <c r="E16" s="29">
        <f>28/34</f>
        <v>0.82352941176470584</v>
      </c>
      <c r="F16" s="12">
        <f>54/34</f>
        <v>1.588235294117647</v>
      </c>
      <c r="G16" s="165">
        <v>51.9</v>
      </c>
      <c r="H16" s="25">
        <f>28/34</f>
        <v>0.82352941176470584</v>
      </c>
      <c r="I16" s="12">
        <f>73/34</f>
        <v>2.1470588235294117</v>
      </c>
      <c r="J16" s="174">
        <v>38.4</v>
      </c>
      <c r="K16" s="29">
        <f>13/34</f>
        <v>0.38235294117647056</v>
      </c>
      <c r="L16" s="12">
        <f>23/34</f>
        <v>0.67647058823529416</v>
      </c>
      <c r="M16" s="216">
        <v>56.5</v>
      </c>
      <c r="N16" s="47">
        <v>2.2999999999999998</v>
      </c>
      <c r="O16" s="12">
        <v>1</v>
      </c>
      <c r="P16" s="33">
        <v>3.3</v>
      </c>
      <c r="Q16" s="56">
        <v>1.9</v>
      </c>
      <c r="R16" s="19">
        <v>0</v>
      </c>
      <c r="S16" s="42">
        <v>1.4</v>
      </c>
      <c r="T16" s="22">
        <v>0.9</v>
      </c>
      <c r="U16" s="47">
        <v>2.4</v>
      </c>
      <c r="V16" s="99" t="s">
        <v>28</v>
      </c>
      <c r="W16" s="56" t="s">
        <v>154</v>
      </c>
      <c r="X16" s="233">
        <v>5.3</v>
      </c>
    </row>
    <row r="17" spans="1:35" ht="18.75" customHeight="1">
      <c r="A17" s="94" t="s">
        <v>155</v>
      </c>
      <c r="B17" s="52" t="s">
        <v>27</v>
      </c>
      <c r="C17" s="57">
        <v>31</v>
      </c>
      <c r="D17" s="232">
        <v>2</v>
      </c>
      <c r="E17" s="30">
        <f>24/31</f>
        <v>0.77419354838709675</v>
      </c>
      <c r="F17" s="6">
        <f>56/31</f>
        <v>1.8064516129032258</v>
      </c>
      <c r="G17" s="166">
        <v>42.9</v>
      </c>
      <c r="H17" s="32">
        <v>0</v>
      </c>
      <c r="I17" s="6">
        <f>2/31</f>
        <v>6.4516129032258063E-2</v>
      </c>
      <c r="J17" s="237">
        <v>0</v>
      </c>
      <c r="K17" s="30">
        <f>13/31</f>
        <v>0.41935483870967744</v>
      </c>
      <c r="L17" s="6">
        <f>28/31</f>
        <v>0.90322580645161288</v>
      </c>
      <c r="M17" s="166">
        <v>46.4</v>
      </c>
      <c r="N17" s="26">
        <v>3</v>
      </c>
      <c r="O17" s="7">
        <v>1.7</v>
      </c>
      <c r="P17" s="27">
        <v>4.7</v>
      </c>
      <c r="Q17" s="57">
        <v>0.5</v>
      </c>
      <c r="R17" s="20">
        <v>1.1000000000000001</v>
      </c>
      <c r="S17" s="30">
        <v>0.5</v>
      </c>
      <c r="T17" s="103">
        <v>0.1</v>
      </c>
      <c r="U17" s="26">
        <v>2</v>
      </c>
      <c r="V17" s="100" t="s">
        <v>28</v>
      </c>
      <c r="W17" s="57">
        <v>13.1</v>
      </c>
      <c r="X17" s="234">
        <v>5.2</v>
      </c>
    </row>
    <row r="18" spans="1:35" ht="18.75" customHeight="1">
      <c r="A18" s="127" t="s">
        <v>156</v>
      </c>
      <c r="B18" s="51" t="s">
        <v>33</v>
      </c>
      <c r="C18" s="56">
        <v>23</v>
      </c>
      <c r="D18" s="233">
        <v>4.5999999999999996</v>
      </c>
      <c r="E18" s="29">
        <f>33/23</f>
        <v>1.4347826086956521</v>
      </c>
      <c r="F18" s="12">
        <f>64/23</f>
        <v>2.7826086956521738</v>
      </c>
      <c r="G18" s="165">
        <v>51.6</v>
      </c>
      <c r="H18" s="25">
        <f>8/23</f>
        <v>0.34782608695652173</v>
      </c>
      <c r="I18" s="12">
        <f>32/23</f>
        <v>1.3913043478260869</v>
      </c>
      <c r="J18" s="174">
        <v>25</v>
      </c>
      <c r="K18" s="29">
        <f>15/23</f>
        <v>0.65217391304347827</v>
      </c>
      <c r="L18" s="12">
        <f>25/23</f>
        <v>1.0869565217391304</v>
      </c>
      <c r="M18" s="216">
        <v>60</v>
      </c>
      <c r="N18" s="47">
        <v>2.9</v>
      </c>
      <c r="O18" s="11">
        <v>1.1000000000000001</v>
      </c>
      <c r="P18" s="33">
        <v>4</v>
      </c>
      <c r="Q18" s="56">
        <v>0.8</v>
      </c>
      <c r="R18" s="19">
        <v>0.1</v>
      </c>
      <c r="S18" s="29">
        <v>1.3</v>
      </c>
      <c r="T18" s="22">
        <v>0.3</v>
      </c>
      <c r="U18" s="47">
        <v>2.7</v>
      </c>
      <c r="V18" s="99" t="s">
        <v>28</v>
      </c>
      <c r="W18" s="56" t="s">
        <v>157</v>
      </c>
      <c r="X18" s="233">
        <v>4.8</v>
      </c>
    </row>
    <row r="19" spans="1:35" ht="18.75" customHeight="1">
      <c r="A19" s="94" t="s">
        <v>158</v>
      </c>
      <c r="B19" s="52" t="s">
        <v>33</v>
      </c>
      <c r="C19" s="57">
        <v>11</v>
      </c>
      <c r="D19" s="234">
        <v>7.2</v>
      </c>
      <c r="E19" s="30">
        <f>16/11</f>
        <v>1.4545454545454546</v>
      </c>
      <c r="F19" s="6">
        <f>34/11</f>
        <v>3.0909090909090908</v>
      </c>
      <c r="G19" s="166">
        <v>47.1</v>
      </c>
      <c r="H19" s="26">
        <f>14/11</f>
        <v>1.2727272727272727</v>
      </c>
      <c r="I19" s="6">
        <f>46/11</f>
        <v>4.1818181818181817</v>
      </c>
      <c r="J19" s="177">
        <v>30.4</v>
      </c>
      <c r="K19" s="30">
        <f>5/11</f>
        <v>0.45454545454545453</v>
      </c>
      <c r="L19" s="6">
        <f>7/11</f>
        <v>0.63636363636363635</v>
      </c>
      <c r="M19" s="167">
        <v>71.400000000000006</v>
      </c>
      <c r="N19" s="49">
        <v>1.2</v>
      </c>
      <c r="O19" s="7">
        <v>0.3</v>
      </c>
      <c r="P19" s="27">
        <v>1.5</v>
      </c>
      <c r="Q19" s="57">
        <v>1.1000000000000001</v>
      </c>
      <c r="R19" s="20">
        <v>0.1</v>
      </c>
      <c r="S19" s="43">
        <v>1.8</v>
      </c>
      <c r="T19" s="23">
        <v>0.2</v>
      </c>
      <c r="U19" s="49">
        <v>1.1000000000000001</v>
      </c>
      <c r="V19" s="100" t="s">
        <v>28</v>
      </c>
      <c r="W19" s="57" t="s">
        <v>159</v>
      </c>
      <c r="X19" s="234">
        <v>3.3</v>
      </c>
    </row>
    <row r="20" spans="1:35" ht="18.75" customHeight="1">
      <c r="A20" s="127" t="s">
        <v>160</v>
      </c>
      <c r="B20" s="51" t="s">
        <v>27</v>
      </c>
      <c r="C20" s="56">
        <v>26</v>
      </c>
      <c r="D20" s="233">
        <v>4.3</v>
      </c>
      <c r="E20" s="29">
        <f>31/26</f>
        <v>1.1923076923076923</v>
      </c>
      <c r="F20" s="12">
        <f>57/26</f>
        <v>2.1923076923076925</v>
      </c>
      <c r="G20" s="216">
        <v>54.4</v>
      </c>
      <c r="H20" s="25">
        <f>14/26</f>
        <v>0.53846153846153844</v>
      </c>
      <c r="I20" s="12">
        <f>54/26</f>
        <v>2.0769230769230771</v>
      </c>
      <c r="J20" s="174">
        <v>25.9</v>
      </c>
      <c r="K20" s="29">
        <f>7/26</f>
        <v>0.26923076923076922</v>
      </c>
      <c r="L20" s="12">
        <f>11/26</f>
        <v>0.42307692307692307</v>
      </c>
      <c r="M20" s="165">
        <v>63.6</v>
      </c>
      <c r="N20" s="47">
        <v>0.8</v>
      </c>
      <c r="O20" s="11">
        <v>0.3</v>
      </c>
      <c r="P20" s="33">
        <v>1.2</v>
      </c>
      <c r="Q20" s="56">
        <v>0.7</v>
      </c>
      <c r="R20" s="19">
        <v>0.1</v>
      </c>
      <c r="S20" s="42">
        <v>0.4</v>
      </c>
      <c r="T20" s="22">
        <v>0.3</v>
      </c>
      <c r="U20" s="47">
        <v>1.3</v>
      </c>
      <c r="V20" s="99" t="s">
        <v>28</v>
      </c>
      <c r="W20" s="56">
        <v>13.1</v>
      </c>
      <c r="X20" s="233">
        <v>2.2999999999999998</v>
      </c>
    </row>
    <row r="21" spans="1:35" ht="18.75" customHeight="1">
      <c r="A21" s="94" t="s">
        <v>161</v>
      </c>
      <c r="B21" s="52" t="s">
        <v>162</v>
      </c>
      <c r="C21" s="57">
        <v>13</v>
      </c>
      <c r="D21" s="234">
        <v>1.9</v>
      </c>
      <c r="E21" s="30">
        <f>4/13</f>
        <v>0.30769230769230771</v>
      </c>
      <c r="F21" s="6">
        <f>10/13</f>
        <v>0.76923076923076927</v>
      </c>
      <c r="G21" s="167">
        <v>40</v>
      </c>
      <c r="H21" s="26">
        <v>0.3</v>
      </c>
      <c r="I21" s="6">
        <f>12/13</f>
        <v>0.92307692307692313</v>
      </c>
      <c r="J21" s="177">
        <v>33.299999999999997</v>
      </c>
      <c r="K21" s="30">
        <f>5/13</f>
        <v>0.38461538461538464</v>
      </c>
      <c r="L21" s="6">
        <f>7/13</f>
        <v>0.53846153846153844</v>
      </c>
      <c r="M21" s="167">
        <v>71.400000000000006</v>
      </c>
      <c r="N21" s="49">
        <v>0.9</v>
      </c>
      <c r="O21" s="7">
        <v>0.5</v>
      </c>
      <c r="P21" s="27">
        <v>1.4</v>
      </c>
      <c r="Q21" s="57">
        <v>0.2</v>
      </c>
      <c r="R21" s="20">
        <v>0</v>
      </c>
      <c r="S21" s="43">
        <v>0.5</v>
      </c>
      <c r="T21" s="23">
        <v>0.2</v>
      </c>
      <c r="U21" s="49">
        <v>0.8</v>
      </c>
      <c r="V21" s="100" t="s">
        <v>28</v>
      </c>
      <c r="W21" s="57" t="s">
        <v>51</v>
      </c>
      <c r="X21" s="234">
        <v>1.6</v>
      </c>
    </row>
    <row r="22" spans="1:35" ht="18.75" customHeight="1">
      <c r="A22" s="128" t="s">
        <v>163</v>
      </c>
      <c r="B22" s="75" t="s">
        <v>162</v>
      </c>
      <c r="C22" s="73">
        <v>10</v>
      </c>
      <c r="D22" s="240">
        <v>2.5</v>
      </c>
      <c r="E22" s="241">
        <v>0.7</v>
      </c>
      <c r="F22" s="69">
        <v>1.4</v>
      </c>
      <c r="G22" s="171">
        <v>50</v>
      </c>
      <c r="H22" s="68">
        <v>0.3</v>
      </c>
      <c r="I22" s="69">
        <v>1.8</v>
      </c>
      <c r="J22" s="178">
        <v>16.7</v>
      </c>
      <c r="K22" s="241">
        <v>0.2</v>
      </c>
      <c r="L22" s="69">
        <v>0.2</v>
      </c>
      <c r="M22" s="225">
        <v>100</v>
      </c>
      <c r="N22" s="74">
        <v>0.3</v>
      </c>
      <c r="O22" s="72">
        <v>0.2</v>
      </c>
      <c r="P22" s="242">
        <v>0.5</v>
      </c>
      <c r="Q22" s="73">
        <v>1.2</v>
      </c>
      <c r="R22" s="67">
        <v>0</v>
      </c>
      <c r="S22" s="71">
        <v>1.1000000000000001</v>
      </c>
      <c r="T22" s="66">
        <v>0.5</v>
      </c>
      <c r="U22" s="74">
        <v>1.5</v>
      </c>
      <c r="V22" s="243" t="s">
        <v>28</v>
      </c>
      <c r="W22" s="73">
        <v>10.3</v>
      </c>
      <c r="X22" s="240">
        <v>0.1</v>
      </c>
    </row>
    <row r="23" spans="1:35" s="2" customFormat="1" ht="18.75" customHeight="1">
      <c r="A23" s="448" t="s">
        <v>164</v>
      </c>
      <c r="B23" s="449"/>
      <c r="C23" s="88">
        <v>35</v>
      </c>
      <c r="D23" s="244">
        <v>76</v>
      </c>
      <c r="E23" s="230">
        <v>18.5</v>
      </c>
      <c r="F23" s="81">
        <v>33.799999999999997</v>
      </c>
      <c r="G23" s="82">
        <v>54.7</v>
      </c>
      <c r="H23" s="80">
        <v>9.6</v>
      </c>
      <c r="I23" s="81">
        <v>27.1</v>
      </c>
      <c r="J23" s="83">
        <v>35.4</v>
      </c>
      <c r="K23" s="230">
        <v>11.9</v>
      </c>
      <c r="L23" s="81">
        <v>17.3</v>
      </c>
      <c r="M23" s="82">
        <v>68.8</v>
      </c>
      <c r="N23" s="89">
        <v>25.9</v>
      </c>
      <c r="O23" s="85">
        <v>9.4</v>
      </c>
      <c r="P23" s="245">
        <v>35.299999999999997</v>
      </c>
      <c r="Q23" s="246">
        <v>15</v>
      </c>
      <c r="R23" s="78">
        <v>2.7</v>
      </c>
      <c r="S23" s="84">
        <v>12.6</v>
      </c>
      <c r="T23" s="122">
        <v>5.7</v>
      </c>
      <c r="U23" s="123">
        <v>20.9</v>
      </c>
      <c r="V23" s="124"/>
      <c r="W23" s="125"/>
      <c r="X23" s="126">
        <v>77.8</v>
      </c>
      <c r="Y23"/>
      <c r="Z23"/>
    </row>
    <row r="24" spans="1:35" s="2" customFormat="1" ht="18.75" customHeight="1">
      <c r="A24" s="461" t="s">
        <v>62</v>
      </c>
      <c r="B24" s="464"/>
      <c r="C24" s="219">
        <v>35</v>
      </c>
      <c r="D24" s="238">
        <v>71.400000000000006</v>
      </c>
      <c r="E24" s="469"/>
      <c r="F24" s="470"/>
      <c r="G24" s="239">
        <v>47.9</v>
      </c>
      <c r="H24" s="474"/>
      <c r="I24" s="474"/>
      <c r="J24" s="239">
        <v>30.6</v>
      </c>
      <c r="K24" s="206"/>
      <c r="L24" s="206"/>
      <c r="M24" s="206"/>
      <c r="N24" s="206"/>
      <c r="O24" s="206"/>
      <c r="P24" s="206"/>
      <c r="Q24" s="206"/>
      <c r="R24" s="206"/>
      <c r="S24" s="206"/>
      <c r="T24" s="206"/>
      <c r="U24" s="206"/>
      <c r="V24" s="206"/>
      <c r="W24" s="206"/>
      <c r="X24" s="207"/>
      <c r="Y24"/>
      <c r="Z24"/>
    </row>
    <row r="25" spans="1:35" s="2" customFormat="1" ht="18.75" customHeight="1">
      <c r="A25" s="437" t="s">
        <v>165</v>
      </c>
      <c r="B25" s="437"/>
      <c r="C25" s="437"/>
      <c r="D25" s="437"/>
      <c r="E25" s="437"/>
      <c r="F25" s="437"/>
      <c r="G25" s="437"/>
      <c r="H25" s="437"/>
      <c r="I25" s="437"/>
      <c r="J25" s="437"/>
      <c r="K25" s="437"/>
      <c r="L25" s="437"/>
      <c r="M25" s="437"/>
      <c r="N25" s="437"/>
      <c r="O25" s="437"/>
      <c r="P25" s="437"/>
      <c r="Q25" s="437"/>
      <c r="R25" s="437"/>
      <c r="S25" s="437"/>
      <c r="T25" s="437"/>
      <c r="U25" s="437"/>
      <c r="V25" s="437"/>
      <c r="W25" s="437"/>
      <c r="X25" s="437"/>
      <c r="Y25"/>
      <c r="Z25"/>
    </row>
    <row r="26" spans="1:35" s="2" customFormat="1" ht="18.75" customHeight="1">
      <c r="A26" s="432" t="s">
        <v>166</v>
      </c>
      <c r="B26" s="432"/>
      <c r="C26" s="432"/>
      <c r="D26" s="432"/>
      <c r="E26" s="432"/>
      <c r="F26" s="432"/>
      <c r="G26" s="432"/>
      <c r="H26" s="432"/>
      <c r="I26" s="432"/>
      <c r="J26" s="432"/>
      <c r="K26" s="432"/>
      <c r="L26" s="432"/>
      <c r="M26" s="432"/>
      <c r="N26" s="432"/>
      <c r="O26" s="432"/>
      <c r="P26" s="432"/>
      <c r="Q26" s="432"/>
      <c r="R26" s="432"/>
      <c r="S26" s="432"/>
      <c r="T26" s="432"/>
      <c r="U26" s="432"/>
      <c r="V26" s="432"/>
      <c r="W26" s="432"/>
      <c r="X26" s="432"/>
      <c r="Y26"/>
    </row>
    <row r="27" spans="1:35" s="2" customFormat="1" ht="18.75" customHeight="1">
      <c r="A27" s="433" t="s">
        <v>65</v>
      </c>
      <c r="B27" s="433"/>
      <c r="C27" s="433"/>
      <c r="D27" s="433"/>
      <c r="E27" s="433"/>
      <c r="F27" s="433"/>
      <c r="G27" s="433"/>
      <c r="H27" s="433"/>
      <c r="I27" s="433"/>
      <c r="J27" s="433"/>
      <c r="K27" s="433"/>
      <c r="L27" s="433"/>
      <c r="M27" s="433"/>
      <c r="N27" s="433"/>
      <c r="O27" s="433"/>
      <c r="P27" s="433"/>
      <c r="Q27" s="433"/>
      <c r="R27" s="433"/>
      <c r="S27" s="433"/>
      <c r="T27" s="433"/>
      <c r="U27" s="433"/>
      <c r="V27" s="433"/>
      <c r="W27" s="433"/>
      <c r="X27" s="433"/>
      <c r="Y27"/>
      <c r="AI27" s="3"/>
    </row>
    <row r="28" spans="1:35" ht="21" customHeight="1"/>
  </sheetData>
  <mergeCells count="25">
    <mergeCell ref="T1:X4"/>
    <mergeCell ref="H5:J5"/>
    <mergeCell ref="K5:M5"/>
    <mergeCell ref="W5:W6"/>
    <mergeCell ref="S5:T5"/>
    <mergeCell ref="Q5:Q6"/>
    <mergeCell ref="A1:A4"/>
    <mergeCell ref="C5:C6"/>
    <mergeCell ref="B1:S2"/>
    <mergeCell ref="B3:S4"/>
    <mergeCell ref="H24:I24"/>
    <mergeCell ref="A26:X26"/>
    <mergeCell ref="A27:X27"/>
    <mergeCell ref="U5:V5"/>
    <mergeCell ref="B5:B6"/>
    <mergeCell ref="A5:A6"/>
    <mergeCell ref="N5:P5"/>
    <mergeCell ref="R5:R6"/>
    <mergeCell ref="E5:G5"/>
    <mergeCell ref="X5:X6"/>
    <mergeCell ref="D5:D6"/>
    <mergeCell ref="A25:X25"/>
    <mergeCell ref="A23:B23"/>
    <mergeCell ref="A24:B24"/>
    <mergeCell ref="E24:F24"/>
  </mergeCells>
  <phoneticPr fontId="10" type="noConversion"/>
  <pageMargins left="0.25" right="0.25" top="0.75" bottom="0.75" header="0.3" footer="0.3"/>
  <pageSetup paperSize="5" orientation="landscape" horizontalDpi="90" verticalDpi="90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2060"/>
  </sheetPr>
  <dimension ref="A1:AI28"/>
  <sheetViews>
    <sheetView zoomScale="106" zoomScaleNormal="106" workbookViewId="0">
      <selection activeCell="B1" sqref="B1:S2"/>
    </sheetView>
  </sheetViews>
  <sheetFormatPr defaultColWidth="9.140625" defaultRowHeight="15"/>
  <cols>
    <col min="1" max="1" width="25.140625" customWidth="1"/>
    <col min="2" max="2" width="6.7109375" customWidth="1"/>
    <col min="3" max="3" width="5.7109375" style="1" customWidth="1"/>
    <col min="4" max="4" width="6.140625" style="1" customWidth="1"/>
    <col min="5" max="23" width="5.7109375" style="1" customWidth="1"/>
    <col min="24" max="24" width="6.140625" style="1" customWidth="1"/>
    <col min="25" max="255" width="11.42578125" customWidth="1"/>
  </cols>
  <sheetData>
    <row r="1" spans="1:24" ht="14.25" customHeight="1">
      <c r="A1" s="482"/>
      <c r="B1" s="422" t="s">
        <v>167</v>
      </c>
      <c r="C1" s="422"/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2"/>
      <c r="S1" s="422"/>
      <c r="T1" s="411"/>
      <c r="U1" s="411"/>
      <c r="V1" s="411"/>
      <c r="W1" s="411"/>
      <c r="X1" s="411"/>
    </row>
    <row r="2" spans="1:24" ht="14.25" customHeight="1">
      <c r="A2" s="482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11"/>
      <c r="U2" s="411"/>
      <c r="V2" s="411"/>
      <c r="W2" s="411"/>
      <c r="X2" s="411"/>
    </row>
    <row r="3" spans="1:24" ht="15" customHeight="1">
      <c r="A3" s="482"/>
      <c r="B3" s="481" t="s">
        <v>168</v>
      </c>
      <c r="C3" s="481"/>
      <c r="D3" s="481"/>
      <c r="E3" s="481"/>
      <c r="F3" s="481"/>
      <c r="G3" s="481"/>
      <c r="H3" s="481"/>
      <c r="I3" s="481"/>
      <c r="J3" s="481"/>
      <c r="K3" s="481"/>
      <c r="L3" s="481"/>
      <c r="M3" s="481"/>
      <c r="N3" s="481"/>
      <c r="O3" s="481"/>
      <c r="P3" s="481"/>
      <c r="Q3" s="481"/>
      <c r="R3" s="481"/>
      <c r="S3" s="481"/>
      <c r="T3" s="411"/>
      <c r="U3" s="411"/>
      <c r="V3" s="411"/>
      <c r="W3" s="411"/>
      <c r="X3" s="411"/>
    </row>
    <row r="4" spans="1:24" ht="15.75" customHeight="1">
      <c r="A4" s="482"/>
      <c r="B4" s="481"/>
      <c r="C4" s="481"/>
      <c r="D4" s="481"/>
      <c r="E4" s="481"/>
      <c r="F4" s="481"/>
      <c r="G4" s="481"/>
      <c r="H4" s="481"/>
      <c r="I4" s="481"/>
      <c r="J4" s="481"/>
      <c r="K4" s="481"/>
      <c r="L4" s="481"/>
      <c r="M4" s="481"/>
      <c r="N4" s="481"/>
      <c r="O4" s="481"/>
      <c r="P4" s="481"/>
      <c r="Q4" s="481"/>
      <c r="R4" s="481"/>
      <c r="S4" s="481"/>
      <c r="T4" s="411"/>
      <c r="U4" s="411"/>
      <c r="V4" s="411"/>
      <c r="W4" s="411"/>
      <c r="X4" s="411"/>
    </row>
    <row r="5" spans="1:24" ht="15" customHeight="1">
      <c r="A5" s="413" t="s">
        <v>2</v>
      </c>
      <c r="B5" s="430" t="s">
        <v>3</v>
      </c>
      <c r="C5" s="415" t="s">
        <v>4</v>
      </c>
      <c r="D5" s="468" t="s">
        <v>5</v>
      </c>
      <c r="E5" s="434" t="s">
        <v>6</v>
      </c>
      <c r="F5" s="435"/>
      <c r="G5" s="427"/>
      <c r="H5" s="426" t="s">
        <v>7</v>
      </c>
      <c r="I5" s="435"/>
      <c r="J5" s="430"/>
      <c r="K5" s="434" t="s">
        <v>8</v>
      </c>
      <c r="L5" s="435"/>
      <c r="M5" s="427"/>
      <c r="N5" s="428" t="s">
        <v>9</v>
      </c>
      <c r="O5" s="439"/>
      <c r="P5" s="429"/>
      <c r="Q5" s="415" t="s">
        <v>10</v>
      </c>
      <c r="R5" s="468" t="s">
        <v>11</v>
      </c>
      <c r="S5" s="434" t="s">
        <v>12</v>
      </c>
      <c r="T5" s="427"/>
      <c r="U5" s="428" t="s">
        <v>13</v>
      </c>
      <c r="V5" s="429"/>
      <c r="W5" s="424" t="s">
        <v>14</v>
      </c>
      <c r="X5" s="419" t="s">
        <v>15</v>
      </c>
    </row>
    <row r="6" spans="1:24" ht="15" customHeight="1">
      <c r="A6" s="414"/>
      <c r="B6" s="431"/>
      <c r="C6" s="416"/>
      <c r="D6" s="438"/>
      <c r="E6" s="135" t="s">
        <v>16</v>
      </c>
      <c r="F6" s="134" t="s">
        <v>17</v>
      </c>
      <c r="G6" s="136" t="s">
        <v>18</v>
      </c>
      <c r="H6" s="133" t="s">
        <v>16</v>
      </c>
      <c r="I6" s="134" t="s">
        <v>17</v>
      </c>
      <c r="J6" s="132" t="s">
        <v>18</v>
      </c>
      <c r="K6" s="135" t="s">
        <v>16</v>
      </c>
      <c r="L6" s="134" t="s">
        <v>17</v>
      </c>
      <c r="M6" s="136" t="s">
        <v>18</v>
      </c>
      <c r="N6" s="145" t="s">
        <v>19</v>
      </c>
      <c r="O6" s="141" t="s">
        <v>20</v>
      </c>
      <c r="P6" s="146" t="s">
        <v>21</v>
      </c>
      <c r="Q6" s="416"/>
      <c r="R6" s="438"/>
      <c r="S6" s="135" t="s">
        <v>22</v>
      </c>
      <c r="T6" s="136" t="s">
        <v>23</v>
      </c>
      <c r="U6" s="145" t="s">
        <v>24</v>
      </c>
      <c r="V6" s="146" t="s">
        <v>25</v>
      </c>
      <c r="W6" s="477"/>
      <c r="X6" s="420"/>
    </row>
    <row r="7" spans="1:24" ht="18.75" customHeight="1">
      <c r="A7" s="94" t="s">
        <v>169</v>
      </c>
      <c r="B7" s="52" t="s">
        <v>33</v>
      </c>
      <c r="C7" s="57">
        <v>15</v>
      </c>
      <c r="D7" s="234">
        <v>23.6</v>
      </c>
      <c r="E7" s="30">
        <f>97/15</f>
        <v>6.4666666666666668</v>
      </c>
      <c r="F7" s="6">
        <f>180/15</f>
        <v>12</v>
      </c>
      <c r="G7" s="166">
        <v>53.9</v>
      </c>
      <c r="H7" s="26">
        <f>19/15</f>
        <v>1.2666666666666666</v>
      </c>
      <c r="I7" s="6">
        <f>64/15</f>
        <v>4.2666666666666666</v>
      </c>
      <c r="J7" s="177">
        <v>29.7</v>
      </c>
      <c r="K7" s="30">
        <f>103/15</f>
        <v>6.8666666666666663</v>
      </c>
      <c r="L7" s="6">
        <f>125/15</f>
        <v>8.3333333333333339</v>
      </c>
      <c r="M7" s="166">
        <v>82.4</v>
      </c>
      <c r="N7" s="49">
        <v>3.9</v>
      </c>
      <c r="O7" s="7">
        <v>0.8</v>
      </c>
      <c r="P7" s="27">
        <v>4.7</v>
      </c>
      <c r="Q7" s="57">
        <v>2.2000000000000002</v>
      </c>
      <c r="R7" s="20">
        <v>0.1</v>
      </c>
      <c r="S7" s="43">
        <v>3.1</v>
      </c>
      <c r="T7" s="23">
        <v>1.3</v>
      </c>
      <c r="U7" s="49">
        <v>1.5</v>
      </c>
      <c r="V7" s="9" t="s">
        <v>28</v>
      </c>
      <c r="W7" s="52" t="s">
        <v>170</v>
      </c>
      <c r="X7" s="214">
        <v>23.6</v>
      </c>
    </row>
    <row r="8" spans="1:24" ht="18.75" customHeight="1">
      <c r="A8" s="127" t="s">
        <v>171</v>
      </c>
      <c r="B8" s="51" t="s">
        <v>33</v>
      </c>
      <c r="C8" s="56">
        <v>18</v>
      </c>
      <c r="D8" s="233">
        <v>13.7</v>
      </c>
      <c r="E8" s="29">
        <f>97/18</f>
        <v>5.3888888888888893</v>
      </c>
      <c r="F8" s="12">
        <f>159/18</f>
        <v>8.8333333333333339</v>
      </c>
      <c r="G8" s="216">
        <v>61</v>
      </c>
      <c r="H8" s="31">
        <v>0</v>
      </c>
      <c r="I8" s="12">
        <f>5/18</f>
        <v>0.27777777777777779</v>
      </c>
      <c r="J8" s="236">
        <v>0</v>
      </c>
      <c r="K8" s="29">
        <f>52/18</f>
        <v>2.8888888888888888</v>
      </c>
      <c r="L8" s="12">
        <f>90/18</f>
        <v>5</v>
      </c>
      <c r="M8" s="216">
        <v>57.8</v>
      </c>
      <c r="N8" s="25">
        <v>4.9000000000000004</v>
      </c>
      <c r="O8" s="11">
        <v>3.9</v>
      </c>
      <c r="P8" s="33">
        <v>8.8000000000000007</v>
      </c>
      <c r="Q8" s="56">
        <v>2.1</v>
      </c>
      <c r="R8" s="19">
        <v>1.2</v>
      </c>
      <c r="S8" s="42">
        <v>1.6</v>
      </c>
      <c r="T8" s="22">
        <v>1.4</v>
      </c>
      <c r="U8" s="25">
        <v>2</v>
      </c>
      <c r="V8" s="13" t="s">
        <v>28</v>
      </c>
      <c r="W8" s="51" t="s">
        <v>172</v>
      </c>
      <c r="X8" s="213">
        <v>21.7</v>
      </c>
    </row>
    <row r="9" spans="1:24" ht="18.75" customHeight="1">
      <c r="A9" s="94" t="s">
        <v>173</v>
      </c>
      <c r="B9" s="52" t="s">
        <v>27</v>
      </c>
      <c r="C9" s="57">
        <v>12</v>
      </c>
      <c r="D9" s="234">
        <v>15.9</v>
      </c>
      <c r="E9" s="30">
        <f>57/12</f>
        <v>4.75</v>
      </c>
      <c r="F9" s="6">
        <f>114/12</f>
        <v>9.5</v>
      </c>
      <c r="G9" s="167">
        <v>50</v>
      </c>
      <c r="H9" s="26">
        <f>11/12</f>
        <v>0.91666666666666663</v>
      </c>
      <c r="I9" s="6">
        <f>26/12</f>
        <v>2.1666666666666665</v>
      </c>
      <c r="J9" s="177">
        <v>42.3</v>
      </c>
      <c r="K9" s="30">
        <f>44/12</f>
        <v>3.6666666666666665</v>
      </c>
      <c r="L9" s="6">
        <f>60/12</f>
        <v>5</v>
      </c>
      <c r="M9" s="167">
        <v>73.3</v>
      </c>
      <c r="N9" s="49">
        <v>5.8</v>
      </c>
      <c r="O9" s="7">
        <v>2.2000000000000002</v>
      </c>
      <c r="P9" s="27">
        <v>7.9</v>
      </c>
      <c r="Q9" s="57">
        <v>1.4</v>
      </c>
      <c r="R9" s="44">
        <v>1</v>
      </c>
      <c r="S9" s="30">
        <v>2.2000000000000002</v>
      </c>
      <c r="T9" s="23">
        <v>1.3</v>
      </c>
      <c r="U9" s="49">
        <v>3.1</v>
      </c>
      <c r="V9" s="9" t="s">
        <v>28</v>
      </c>
      <c r="W9" s="52" t="s">
        <v>174</v>
      </c>
      <c r="X9" s="272">
        <v>19</v>
      </c>
    </row>
    <row r="10" spans="1:24" ht="18.75" customHeight="1">
      <c r="A10" s="127" t="s">
        <v>175</v>
      </c>
      <c r="B10" s="51" t="s">
        <v>33</v>
      </c>
      <c r="C10" s="56">
        <v>11</v>
      </c>
      <c r="D10" s="235">
        <v>13</v>
      </c>
      <c r="E10" s="29">
        <f>39/11</f>
        <v>3.5454545454545454</v>
      </c>
      <c r="F10" s="12">
        <f>64/11</f>
        <v>5.8181818181818183</v>
      </c>
      <c r="G10" s="165">
        <v>60.9</v>
      </c>
      <c r="H10" s="25">
        <f>11/11</f>
        <v>1</v>
      </c>
      <c r="I10" s="12">
        <f>35/11</f>
        <v>3.1818181818181817</v>
      </c>
      <c r="J10" s="174">
        <v>31.4</v>
      </c>
      <c r="K10" s="29">
        <f>32/11</f>
        <v>2.9090909090909092</v>
      </c>
      <c r="L10" s="12">
        <f>36/11</f>
        <v>3.2727272727272729</v>
      </c>
      <c r="M10" s="216">
        <v>88.9</v>
      </c>
      <c r="N10" s="47">
        <v>5.3</v>
      </c>
      <c r="O10" s="11">
        <v>0.3</v>
      </c>
      <c r="P10" s="33">
        <v>5.5</v>
      </c>
      <c r="Q10" s="249">
        <v>1</v>
      </c>
      <c r="R10" s="19">
        <v>0.2</v>
      </c>
      <c r="S10" s="42">
        <v>2.2999999999999998</v>
      </c>
      <c r="T10" s="22">
        <v>0.8</v>
      </c>
      <c r="U10" s="47">
        <v>2.2000000000000002</v>
      </c>
      <c r="V10" s="13" t="s">
        <v>28</v>
      </c>
      <c r="W10" s="51" t="s">
        <v>176</v>
      </c>
      <c r="X10" s="213">
        <v>14.3</v>
      </c>
    </row>
    <row r="11" spans="1:24" ht="18.75" customHeight="1">
      <c r="A11" s="94" t="s">
        <v>177</v>
      </c>
      <c r="B11" s="52" t="s">
        <v>33</v>
      </c>
      <c r="C11" s="57">
        <v>6</v>
      </c>
      <c r="D11" s="234">
        <v>15.3</v>
      </c>
      <c r="E11" s="30">
        <f>24/6</f>
        <v>4</v>
      </c>
      <c r="F11" s="6">
        <f>53/6</f>
        <v>8.8333333333333339</v>
      </c>
      <c r="G11" s="217">
        <v>45.3</v>
      </c>
      <c r="H11" s="26">
        <f>9/6</f>
        <v>1.5</v>
      </c>
      <c r="I11" s="6">
        <f>23/6</f>
        <v>3.8333333333333335</v>
      </c>
      <c r="J11" s="177">
        <v>39.1</v>
      </c>
      <c r="K11" s="30">
        <f>17/6</f>
        <v>2.8333333333333335</v>
      </c>
      <c r="L11" s="6">
        <f>23/6</f>
        <v>3.8333333333333335</v>
      </c>
      <c r="M11" s="167">
        <v>73.900000000000006</v>
      </c>
      <c r="N11" s="49">
        <v>5.7</v>
      </c>
      <c r="O11" s="7">
        <v>1.3</v>
      </c>
      <c r="P11" s="27">
        <v>7</v>
      </c>
      <c r="Q11" s="57">
        <v>1.2</v>
      </c>
      <c r="R11" s="20">
        <v>0.5</v>
      </c>
      <c r="S11" s="30">
        <v>3</v>
      </c>
      <c r="T11" s="23">
        <v>0.8</v>
      </c>
      <c r="U11" s="49">
        <v>3.2</v>
      </c>
      <c r="V11" s="9" t="s">
        <v>28</v>
      </c>
      <c r="W11" s="52" t="s">
        <v>148</v>
      </c>
      <c r="X11" s="272">
        <v>14</v>
      </c>
    </row>
    <row r="12" spans="1:24" ht="18.75" customHeight="1">
      <c r="A12" s="127" t="s">
        <v>178</v>
      </c>
      <c r="B12" s="51" t="s">
        <v>27</v>
      </c>
      <c r="C12" s="56">
        <v>20</v>
      </c>
      <c r="D12" s="235">
        <v>11</v>
      </c>
      <c r="E12" s="29">
        <f>50/20</f>
        <v>2.5</v>
      </c>
      <c r="F12" s="12">
        <f>94/20</f>
        <v>4.7</v>
      </c>
      <c r="G12" s="165">
        <v>53.2</v>
      </c>
      <c r="H12" s="25">
        <f>28/20</f>
        <v>1.4</v>
      </c>
      <c r="I12" s="12">
        <f>87/20</f>
        <v>4.3499999999999996</v>
      </c>
      <c r="J12" s="174">
        <v>32.200000000000003</v>
      </c>
      <c r="K12" s="29">
        <f>36/20</f>
        <v>1.8</v>
      </c>
      <c r="L12" s="12">
        <f>47/20</f>
        <v>2.35</v>
      </c>
      <c r="M12" s="216">
        <v>76.599999999999994</v>
      </c>
      <c r="N12" s="47">
        <v>4.3</v>
      </c>
      <c r="O12" s="11">
        <v>0.7</v>
      </c>
      <c r="P12" s="33">
        <v>5</v>
      </c>
      <c r="Q12" s="56">
        <v>4.5</v>
      </c>
      <c r="R12" s="19">
        <v>0.1</v>
      </c>
      <c r="S12" s="42">
        <v>2.6</v>
      </c>
      <c r="T12" s="22">
        <v>1.3</v>
      </c>
      <c r="U12" s="47">
        <v>2.6</v>
      </c>
      <c r="V12" s="13" t="s">
        <v>28</v>
      </c>
      <c r="W12" s="51" t="s">
        <v>179</v>
      </c>
      <c r="X12" s="213">
        <v>13.7</v>
      </c>
    </row>
    <row r="13" spans="1:24" ht="18.75" customHeight="1">
      <c r="A13" s="94" t="s">
        <v>180</v>
      </c>
      <c r="B13" s="52" t="s">
        <v>27</v>
      </c>
      <c r="C13" s="57">
        <v>21</v>
      </c>
      <c r="D13" s="234">
        <v>10.6</v>
      </c>
      <c r="E13" s="30">
        <f>46/21</f>
        <v>2.1904761904761907</v>
      </c>
      <c r="F13" s="6">
        <f>82/21</f>
        <v>3.9047619047619047</v>
      </c>
      <c r="G13" s="166">
        <v>56.1</v>
      </c>
      <c r="H13" s="26">
        <v>1.4</v>
      </c>
      <c r="I13" s="6">
        <v>4.2</v>
      </c>
      <c r="J13" s="177">
        <v>34.1</v>
      </c>
      <c r="K13" s="30">
        <f>40/21</f>
        <v>1.9047619047619047</v>
      </c>
      <c r="L13" s="6">
        <f>62/21</f>
        <v>2.9523809523809526</v>
      </c>
      <c r="M13" s="167">
        <v>64.5</v>
      </c>
      <c r="N13" s="49">
        <v>3.2</v>
      </c>
      <c r="O13" s="6">
        <v>1</v>
      </c>
      <c r="P13" s="27">
        <v>4.2</v>
      </c>
      <c r="Q13" s="250">
        <v>1</v>
      </c>
      <c r="R13" s="20">
        <v>0.5</v>
      </c>
      <c r="S13" s="43">
        <v>1.6</v>
      </c>
      <c r="T13" s="23">
        <v>0.8</v>
      </c>
      <c r="U13" s="26">
        <v>2</v>
      </c>
      <c r="V13" s="9" t="s">
        <v>28</v>
      </c>
      <c r="W13" s="52" t="s">
        <v>181</v>
      </c>
      <c r="X13" s="214">
        <v>10.6</v>
      </c>
    </row>
    <row r="14" spans="1:24" ht="18.75" customHeight="1">
      <c r="A14" s="127" t="s">
        <v>182</v>
      </c>
      <c r="B14" s="51" t="s">
        <v>27</v>
      </c>
      <c r="C14" s="56">
        <v>27</v>
      </c>
      <c r="D14" s="235">
        <v>6.3</v>
      </c>
      <c r="E14" s="29">
        <f>70/27</f>
        <v>2.5925925925925926</v>
      </c>
      <c r="F14" s="12">
        <f>116/27</f>
        <v>4.2962962962962967</v>
      </c>
      <c r="G14" s="216">
        <v>60.3</v>
      </c>
      <c r="H14" s="31">
        <v>0</v>
      </c>
      <c r="I14" s="14">
        <v>0</v>
      </c>
      <c r="J14" s="236">
        <v>0</v>
      </c>
      <c r="K14" s="29">
        <f>30/27</f>
        <v>1.1111111111111112</v>
      </c>
      <c r="L14" s="12">
        <f>53/27</f>
        <v>1.962962962962963</v>
      </c>
      <c r="M14" s="165">
        <v>56.6</v>
      </c>
      <c r="N14" s="47">
        <v>2.9</v>
      </c>
      <c r="O14" s="12">
        <v>2</v>
      </c>
      <c r="P14" s="33">
        <v>4.9000000000000004</v>
      </c>
      <c r="Q14" s="56">
        <v>0.3</v>
      </c>
      <c r="R14" s="19">
        <v>0.6</v>
      </c>
      <c r="S14" s="29">
        <v>1</v>
      </c>
      <c r="T14" s="22">
        <v>0.5</v>
      </c>
      <c r="U14" s="47">
        <v>2.5</v>
      </c>
      <c r="V14" s="13" t="s">
        <v>28</v>
      </c>
      <c r="W14" s="51" t="s">
        <v>183</v>
      </c>
      <c r="X14" s="273">
        <v>8.1</v>
      </c>
    </row>
    <row r="15" spans="1:24" ht="18.75" customHeight="1">
      <c r="A15" s="94" t="s">
        <v>184</v>
      </c>
      <c r="B15" s="52" t="s">
        <v>33</v>
      </c>
      <c r="C15" s="57">
        <v>15</v>
      </c>
      <c r="D15" s="234">
        <v>9.3000000000000007</v>
      </c>
      <c r="E15" s="30">
        <f>18/15</f>
        <v>1.2</v>
      </c>
      <c r="F15" s="6">
        <f>45/15</f>
        <v>3</v>
      </c>
      <c r="G15" s="167">
        <v>40</v>
      </c>
      <c r="H15" s="26">
        <f>28/15</f>
        <v>1.8666666666666667</v>
      </c>
      <c r="I15" s="6">
        <f>74/15</f>
        <v>4.9333333333333336</v>
      </c>
      <c r="J15" s="177">
        <v>37.799999999999997</v>
      </c>
      <c r="K15" s="30">
        <f>20/15</f>
        <v>1.3333333333333333</v>
      </c>
      <c r="L15" s="6">
        <f>27/15</f>
        <v>1.8</v>
      </c>
      <c r="M15" s="167">
        <v>74.099999999999994</v>
      </c>
      <c r="N15" s="49">
        <v>1.1000000000000001</v>
      </c>
      <c r="O15" s="6">
        <v>0.2</v>
      </c>
      <c r="P15" s="27">
        <v>1.3</v>
      </c>
      <c r="Q15" s="57">
        <v>1.6</v>
      </c>
      <c r="R15" s="20">
        <v>0.1</v>
      </c>
      <c r="S15" s="43">
        <v>1.4</v>
      </c>
      <c r="T15" s="23">
        <v>0.7</v>
      </c>
      <c r="U15" s="49">
        <v>1.1000000000000001</v>
      </c>
      <c r="V15" s="9" t="s">
        <v>28</v>
      </c>
      <c r="W15" s="52" t="s">
        <v>185</v>
      </c>
      <c r="X15" s="214">
        <v>6.5</v>
      </c>
    </row>
    <row r="16" spans="1:24" ht="18.75" customHeight="1">
      <c r="A16" s="127" t="s">
        <v>186</v>
      </c>
      <c r="B16" s="51" t="s">
        <v>27</v>
      </c>
      <c r="C16" s="56">
        <v>20</v>
      </c>
      <c r="D16" s="233">
        <v>5.6</v>
      </c>
      <c r="E16" s="29">
        <f>19/20</f>
        <v>0.95</v>
      </c>
      <c r="F16" s="12">
        <f>27/20</f>
        <v>1.35</v>
      </c>
      <c r="G16" s="165">
        <v>70.400000000000006</v>
      </c>
      <c r="H16" s="25">
        <f>22/20</f>
        <v>1.1000000000000001</v>
      </c>
      <c r="I16" s="12">
        <f>65/20</f>
        <v>3.25</v>
      </c>
      <c r="J16" s="236">
        <v>33.799999999999997</v>
      </c>
      <c r="K16" s="29">
        <f>8/20</f>
        <v>0.4</v>
      </c>
      <c r="L16" s="12">
        <v>1</v>
      </c>
      <c r="M16" s="216">
        <v>40</v>
      </c>
      <c r="N16" s="25">
        <v>2</v>
      </c>
      <c r="O16" s="11">
        <v>0.3</v>
      </c>
      <c r="P16" s="33">
        <v>2.2000000000000002</v>
      </c>
      <c r="Q16" s="56">
        <v>0.8</v>
      </c>
      <c r="R16" s="147">
        <v>0</v>
      </c>
      <c r="S16" s="42">
        <v>0.3</v>
      </c>
      <c r="T16" s="22">
        <v>0.5</v>
      </c>
      <c r="U16" s="47">
        <v>1.4</v>
      </c>
      <c r="V16" s="13" t="s">
        <v>28</v>
      </c>
      <c r="W16" s="51" t="s">
        <v>187</v>
      </c>
      <c r="X16" s="213">
        <v>4.9000000000000004</v>
      </c>
    </row>
    <row r="17" spans="1:35" ht="18.75" customHeight="1">
      <c r="A17" s="94" t="s">
        <v>188</v>
      </c>
      <c r="B17" s="52" t="s">
        <v>27</v>
      </c>
      <c r="C17" s="57">
        <v>22</v>
      </c>
      <c r="D17" s="234">
        <v>4.2</v>
      </c>
      <c r="E17" s="30">
        <f>18/22</f>
        <v>0.81818181818181823</v>
      </c>
      <c r="F17" s="6">
        <f>47/22</f>
        <v>2.1363636363636362</v>
      </c>
      <c r="G17" s="166">
        <v>38.299999999999997</v>
      </c>
      <c r="H17" s="26">
        <f>16/22</f>
        <v>0.72727272727272729</v>
      </c>
      <c r="I17" s="6">
        <f>51/22</f>
        <v>2.3181818181818183</v>
      </c>
      <c r="J17" s="177">
        <v>31.4</v>
      </c>
      <c r="K17" s="30">
        <f>8/22</f>
        <v>0.36363636363636365</v>
      </c>
      <c r="L17" s="6">
        <f>12/22</f>
        <v>0.54545454545454541</v>
      </c>
      <c r="M17" s="166">
        <v>66.7</v>
      </c>
      <c r="N17" s="49">
        <v>1.5</v>
      </c>
      <c r="O17" s="7">
        <v>0.5</v>
      </c>
      <c r="P17" s="27">
        <v>2.1</v>
      </c>
      <c r="Q17" s="57">
        <v>1.3</v>
      </c>
      <c r="R17" s="20">
        <v>0</v>
      </c>
      <c r="S17" s="43">
        <v>0.9</v>
      </c>
      <c r="T17" s="103">
        <v>1</v>
      </c>
      <c r="U17" s="49">
        <v>1.7</v>
      </c>
      <c r="V17" s="9" t="s">
        <v>28</v>
      </c>
      <c r="W17" s="52" t="s">
        <v>189</v>
      </c>
      <c r="X17" s="214">
        <v>3.3</v>
      </c>
    </row>
    <row r="18" spans="1:35" ht="18.75" customHeight="1">
      <c r="A18" s="127" t="s">
        <v>190</v>
      </c>
      <c r="B18" s="51" t="s">
        <v>27</v>
      </c>
      <c r="C18" s="56">
        <v>26</v>
      </c>
      <c r="D18" s="233">
        <v>3.1</v>
      </c>
      <c r="E18" s="29">
        <f>19/26</f>
        <v>0.73076923076923073</v>
      </c>
      <c r="F18" s="12">
        <f>45/26</f>
        <v>1.7307692307692308</v>
      </c>
      <c r="G18" s="165">
        <v>42.2</v>
      </c>
      <c r="H18" s="25">
        <f>12/26</f>
        <v>0.46153846153846156</v>
      </c>
      <c r="I18" s="12">
        <f>32/26</f>
        <v>1.2307692307692308</v>
      </c>
      <c r="J18" s="174">
        <v>37.5</v>
      </c>
      <c r="K18" s="29">
        <f>6/26</f>
        <v>0.23076923076923078</v>
      </c>
      <c r="L18" s="12">
        <f>12/26</f>
        <v>0.46153846153846156</v>
      </c>
      <c r="M18" s="216">
        <v>50</v>
      </c>
      <c r="N18" s="25">
        <v>2</v>
      </c>
      <c r="O18" s="12">
        <v>1.1000000000000001</v>
      </c>
      <c r="P18" s="33">
        <v>3</v>
      </c>
      <c r="Q18" s="56">
        <v>0.3</v>
      </c>
      <c r="R18" s="19">
        <v>0</v>
      </c>
      <c r="S18" s="42">
        <v>0.7</v>
      </c>
      <c r="T18" s="22">
        <v>0.4</v>
      </c>
      <c r="U18" s="25">
        <v>2</v>
      </c>
      <c r="V18" s="13" t="s">
        <v>28</v>
      </c>
      <c r="W18" s="51" t="s">
        <v>191</v>
      </c>
      <c r="X18" s="213">
        <v>2.5</v>
      </c>
    </row>
    <row r="19" spans="1:35" ht="18.75" customHeight="1">
      <c r="A19" s="94" t="s">
        <v>192</v>
      </c>
      <c r="B19" s="52" t="s">
        <v>33</v>
      </c>
      <c r="C19" s="57">
        <v>1</v>
      </c>
      <c r="D19" s="232">
        <v>4</v>
      </c>
      <c r="E19" s="30">
        <v>1</v>
      </c>
      <c r="F19" s="6">
        <v>2</v>
      </c>
      <c r="G19" s="167">
        <v>50</v>
      </c>
      <c r="H19" s="26">
        <v>0</v>
      </c>
      <c r="I19" s="6">
        <v>1</v>
      </c>
      <c r="J19" s="177">
        <v>0</v>
      </c>
      <c r="K19" s="30">
        <v>2</v>
      </c>
      <c r="L19" s="6">
        <v>2</v>
      </c>
      <c r="M19" s="217">
        <v>100</v>
      </c>
      <c r="N19" s="26">
        <v>2</v>
      </c>
      <c r="O19" s="7">
        <v>0</v>
      </c>
      <c r="P19" s="27">
        <v>2</v>
      </c>
      <c r="Q19" s="57">
        <v>0</v>
      </c>
      <c r="R19" s="20">
        <v>0</v>
      </c>
      <c r="S19" s="30">
        <v>1</v>
      </c>
      <c r="T19" s="23">
        <v>0</v>
      </c>
      <c r="U19" s="26">
        <v>3</v>
      </c>
      <c r="V19" s="9" t="s">
        <v>28</v>
      </c>
      <c r="W19" s="52" t="s">
        <v>193</v>
      </c>
      <c r="X19" s="272">
        <v>2</v>
      </c>
    </row>
    <row r="20" spans="1:35" ht="18.75" customHeight="1">
      <c r="A20" s="127" t="s">
        <v>194</v>
      </c>
      <c r="B20" s="51" t="s">
        <v>27</v>
      </c>
      <c r="C20" s="56">
        <v>17</v>
      </c>
      <c r="D20" s="235">
        <v>3.6</v>
      </c>
      <c r="E20" s="29">
        <f>12/17</f>
        <v>0.70588235294117652</v>
      </c>
      <c r="F20" s="12">
        <f>34/17</f>
        <v>2</v>
      </c>
      <c r="G20" s="165">
        <v>35.299999999999997</v>
      </c>
      <c r="H20" s="25">
        <f>9/17</f>
        <v>0.52941176470588236</v>
      </c>
      <c r="I20" s="12">
        <f>27/17</f>
        <v>1.588235294117647</v>
      </c>
      <c r="J20" s="174">
        <v>33.299999999999997</v>
      </c>
      <c r="K20" s="29">
        <f>10/17</f>
        <v>0.58823529411764708</v>
      </c>
      <c r="L20" s="12">
        <f>12/17</f>
        <v>0.70588235294117652</v>
      </c>
      <c r="M20" s="165">
        <v>83.3</v>
      </c>
      <c r="N20" s="25">
        <v>0.9</v>
      </c>
      <c r="O20" s="11">
        <v>0.1</v>
      </c>
      <c r="P20" s="33">
        <v>1</v>
      </c>
      <c r="Q20" s="56">
        <v>1.2</v>
      </c>
      <c r="R20" s="19">
        <v>0.1</v>
      </c>
      <c r="S20" s="42">
        <v>1.4</v>
      </c>
      <c r="T20" s="22">
        <v>0.3</v>
      </c>
      <c r="U20" s="47">
        <v>1.2</v>
      </c>
      <c r="V20" s="13" t="s">
        <v>28</v>
      </c>
      <c r="W20" s="51" t="s">
        <v>195</v>
      </c>
      <c r="X20" s="213">
        <v>1.9</v>
      </c>
    </row>
    <row r="21" spans="1:35" ht="18.75" customHeight="1">
      <c r="A21" s="94" t="s">
        <v>196</v>
      </c>
      <c r="B21" s="52" t="s">
        <v>27</v>
      </c>
      <c r="C21" s="57">
        <v>14</v>
      </c>
      <c r="D21" s="232">
        <v>2.1</v>
      </c>
      <c r="E21" s="30">
        <f>9/14</f>
        <v>0.6428571428571429</v>
      </c>
      <c r="F21" s="6">
        <f>15/14</f>
        <v>1.0714285714285714</v>
      </c>
      <c r="G21" s="167">
        <v>60</v>
      </c>
      <c r="H21" s="26">
        <f>2/14</f>
        <v>0.14285714285714285</v>
      </c>
      <c r="I21" s="6">
        <f>9/14</f>
        <v>0.6428571428571429</v>
      </c>
      <c r="J21" s="177">
        <v>22.2</v>
      </c>
      <c r="K21" s="30">
        <f>5/14</f>
        <v>0.35714285714285715</v>
      </c>
      <c r="L21" s="6">
        <f>7/14</f>
        <v>0.5</v>
      </c>
      <c r="M21" s="166">
        <v>71.400000000000006</v>
      </c>
      <c r="N21" s="26">
        <v>0.8</v>
      </c>
      <c r="O21" s="7">
        <v>0.1</v>
      </c>
      <c r="P21" s="27">
        <v>0.9</v>
      </c>
      <c r="Q21" s="57">
        <v>1.1000000000000001</v>
      </c>
      <c r="R21" s="20">
        <v>0</v>
      </c>
      <c r="S21" s="30">
        <v>0.6</v>
      </c>
      <c r="T21" s="103">
        <v>0.4</v>
      </c>
      <c r="U21" s="26">
        <v>1.4</v>
      </c>
      <c r="V21" s="9" t="s">
        <v>28</v>
      </c>
      <c r="W21" s="52" t="s">
        <v>197</v>
      </c>
      <c r="X21" s="214">
        <v>1.9</v>
      </c>
    </row>
    <row r="22" spans="1:35" ht="18.75" customHeight="1">
      <c r="A22" s="127" t="s">
        <v>198</v>
      </c>
      <c r="B22" s="51" t="s">
        <v>27</v>
      </c>
      <c r="C22" s="56">
        <v>11</v>
      </c>
      <c r="D22" s="235">
        <v>2.5</v>
      </c>
      <c r="E22" s="29">
        <f>10/11</f>
        <v>0.90909090909090906</v>
      </c>
      <c r="F22" s="12">
        <v>2</v>
      </c>
      <c r="G22" s="165">
        <v>45.5</v>
      </c>
      <c r="H22" s="25">
        <f>1/11</f>
        <v>9.0909090909090912E-2</v>
      </c>
      <c r="I22" s="12">
        <f>6/11</f>
        <v>0.54545454545454541</v>
      </c>
      <c r="J22" s="174">
        <v>16.7</v>
      </c>
      <c r="K22" s="29">
        <f>4/11</f>
        <v>0.36363636363636365</v>
      </c>
      <c r="L22" s="12">
        <v>1</v>
      </c>
      <c r="M22" s="216">
        <v>36.4</v>
      </c>
      <c r="N22" s="47">
        <v>1.1000000000000001</v>
      </c>
      <c r="O22" s="11">
        <v>0.2</v>
      </c>
      <c r="P22" s="33">
        <v>1.3</v>
      </c>
      <c r="Q22" s="249">
        <v>0.4</v>
      </c>
      <c r="R22" s="19">
        <v>0.5</v>
      </c>
      <c r="S22" s="42">
        <v>0.8</v>
      </c>
      <c r="T22" s="22">
        <v>0.2</v>
      </c>
      <c r="U22" s="47">
        <v>1.4</v>
      </c>
      <c r="V22" s="13" t="s">
        <v>28</v>
      </c>
      <c r="W22" s="51" t="s">
        <v>199</v>
      </c>
      <c r="X22" s="213">
        <v>1.1000000000000001</v>
      </c>
    </row>
    <row r="23" spans="1:35" ht="18.75" customHeight="1">
      <c r="A23" s="109" t="s">
        <v>200</v>
      </c>
      <c r="B23" s="253" t="s">
        <v>27</v>
      </c>
      <c r="C23" s="117">
        <v>11</v>
      </c>
      <c r="D23" s="271">
        <v>1.9</v>
      </c>
      <c r="E23" s="254">
        <v>0.18181818181818182</v>
      </c>
      <c r="F23" s="113">
        <v>0.2</v>
      </c>
      <c r="G23" s="275">
        <v>100</v>
      </c>
      <c r="H23" s="112">
        <f>5/11</f>
        <v>0.45454545454545453</v>
      </c>
      <c r="I23" s="113">
        <f>15/11</f>
        <v>1.3636363636363635</v>
      </c>
      <c r="J23" s="276">
        <v>33.299999999999997</v>
      </c>
      <c r="K23" s="254">
        <v>0.18181818181818182</v>
      </c>
      <c r="L23" s="113">
        <v>0.2</v>
      </c>
      <c r="M23" s="275">
        <v>100</v>
      </c>
      <c r="N23" s="118">
        <v>0.7</v>
      </c>
      <c r="O23" s="116">
        <v>0</v>
      </c>
      <c r="P23" s="255">
        <v>0.7</v>
      </c>
      <c r="Q23" s="117">
        <v>0.3</v>
      </c>
      <c r="R23" s="111">
        <v>0</v>
      </c>
      <c r="S23" s="115">
        <v>0.5</v>
      </c>
      <c r="T23" s="110">
        <v>0.1</v>
      </c>
      <c r="U23" s="118">
        <v>0.9</v>
      </c>
      <c r="V23" s="256" t="s">
        <v>28</v>
      </c>
      <c r="W23" s="253" t="s">
        <v>201</v>
      </c>
      <c r="X23" s="274">
        <v>0.9</v>
      </c>
    </row>
    <row r="24" spans="1:35" s="2" customFormat="1" ht="18.75" customHeight="1">
      <c r="A24" s="448" t="s">
        <v>202</v>
      </c>
      <c r="B24" s="449"/>
      <c r="C24" s="88">
        <v>29</v>
      </c>
      <c r="D24" s="244">
        <v>76.2</v>
      </c>
      <c r="E24" s="230">
        <v>20.3</v>
      </c>
      <c r="F24" s="81">
        <v>38.200000000000003</v>
      </c>
      <c r="G24" s="82">
        <v>53.3</v>
      </c>
      <c r="H24" s="80">
        <v>7</v>
      </c>
      <c r="I24" s="81">
        <v>21.1</v>
      </c>
      <c r="J24" s="83">
        <v>33.200000000000003</v>
      </c>
      <c r="K24" s="230">
        <v>14.5</v>
      </c>
      <c r="L24" s="81">
        <v>20.9</v>
      </c>
      <c r="M24" s="82">
        <v>69.400000000000006</v>
      </c>
      <c r="N24" s="89">
        <v>25.1</v>
      </c>
      <c r="O24" s="85">
        <v>9.1999999999999993</v>
      </c>
      <c r="P24" s="245">
        <v>34.299999999999997</v>
      </c>
      <c r="Q24" s="246">
        <v>11.8</v>
      </c>
      <c r="R24" s="78">
        <v>2.6</v>
      </c>
      <c r="S24" s="84">
        <v>12.8</v>
      </c>
      <c r="T24" s="122">
        <v>6.8</v>
      </c>
      <c r="U24" s="89">
        <v>17.7</v>
      </c>
      <c r="V24" s="269"/>
      <c r="W24" s="270"/>
      <c r="X24" s="231">
        <v>80.5</v>
      </c>
      <c r="Y24"/>
      <c r="Z24"/>
    </row>
    <row r="25" spans="1:35" s="2" customFormat="1" ht="18.75" customHeight="1">
      <c r="A25" s="440" t="s">
        <v>62</v>
      </c>
      <c r="B25" s="478"/>
      <c r="C25" s="163">
        <v>29</v>
      </c>
      <c r="D25" s="277">
        <v>72.2</v>
      </c>
      <c r="E25" s="479"/>
      <c r="F25" s="447"/>
      <c r="G25" s="278">
        <v>49.5</v>
      </c>
      <c r="H25" s="445"/>
      <c r="I25" s="480"/>
      <c r="J25" s="279">
        <v>33.299999999999997</v>
      </c>
      <c r="K25" s="280"/>
      <c r="L25" s="280"/>
      <c r="M25" s="280"/>
      <c r="N25" s="280"/>
      <c r="O25" s="280"/>
      <c r="P25" s="280"/>
      <c r="Q25" s="280"/>
      <c r="R25" s="280"/>
      <c r="S25" s="280"/>
      <c r="T25" s="280"/>
      <c r="U25" s="280"/>
      <c r="V25" s="280"/>
      <c r="W25" s="280"/>
      <c r="X25" s="281"/>
      <c r="Y25"/>
      <c r="Z25"/>
    </row>
    <row r="26" spans="1:35" s="2" customFormat="1" ht="18.75" customHeight="1">
      <c r="A26" s="437" t="s">
        <v>203</v>
      </c>
      <c r="B26" s="437"/>
      <c r="C26" s="437"/>
      <c r="D26" s="437"/>
      <c r="E26" s="437"/>
      <c r="F26" s="437"/>
      <c r="G26" s="437"/>
      <c r="H26" s="437"/>
      <c r="I26" s="437"/>
      <c r="J26" s="437"/>
      <c r="K26" s="437"/>
      <c r="L26" s="437"/>
      <c r="M26" s="437"/>
      <c r="N26" s="437"/>
      <c r="O26" s="437"/>
      <c r="P26" s="437"/>
      <c r="Q26" s="437"/>
      <c r="R26" s="437"/>
      <c r="S26" s="437"/>
      <c r="T26" s="437"/>
      <c r="U26" s="437"/>
      <c r="V26" s="437"/>
      <c r="W26" s="437"/>
      <c r="X26" s="437"/>
      <c r="Y26"/>
      <c r="Z26"/>
    </row>
    <row r="27" spans="1:35" s="2" customFormat="1" ht="18.75" customHeight="1">
      <c r="A27" s="432" t="s">
        <v>204</v>
      </c>
      <c r="B27" s="432"/>
      <c r="C27" s="432"/>
      <c r="D27" s="432"/>
      <c r="E27" s="432"/>
      <c r="F27" s="432"/>
      <c r="G27" s="432"/>
      <c r="H27" s="432"/>
      <c r="I27" s="432"/>
      <c r="J27" s="432"/>
      <c r="K27" s="432"/>
      <c r="L27" s="432"/>
      <c r="M27" s="432"/>
      <c r="N27" s="432"/>
      <c r="O27" s="432"/>
      <c r="P27" s="432"/>
      <c r="Q27" s="432"/>
      <c r="R27" s="432"/>
      <c r="S27" s="432"/>
      <c r="T27" s="432"/>
      <c r="U27" s="432"/>
      <c r="V27" s="432"/>
      <c r="W27" s="432"/>
      <c r="X27" s="432"/>
      <c r="Y27"/>
    </row>
    <row r="28" spans="1:35" s="2" customFormat="1" ht="18.75" customHeight="1">
      <c r="A28" s="433" t="s">
        <v>65</v>
      </c>
      <c r="B28" s="433"/>
      <c r="C28" s="433"/>
      <c r="D28" s="433"/>
      <c r="E28" s="433"/>
      <c r="F28" s="433"/>
      <c r="G28" s="433"/>
      <c r="H28" s="433"/>
      <c r="I28" s="433"/>
      <c r="J28" s="433"/>
      <c r="K28" s="433"/>
      <c r="L28" s="433"/>
      <c r="M28" s="433"/>
      <c r="N28" s="433"/>
      <c r="O28" s="433"/>
      <c r="P28" s="433"/>
      <c r="Q28" s="433"/>
      <c r="R28" s="433"/>
      <c r="S28" s="433"/>
      <c r="T28" s="433"/>
      <c r="U28" s="433"/>
      <c r="V28" s="433"/>
      <c r="W28" s="433"/>
      <c r="X28" s="433"/>
      <c r="Y28"/>
      <c r="AI28" s="3"/>
    </row>
  </sheetData>
  <mergeCells count="25">
    <mergeCell ref="T1:X4"/>
    <mergeCell ref="Q5:Q6"/>
    <mergeCell ref="B3:S4"/>
    <mergeCell ref="A24:B24"/>
    <mergeCell ref="H5:J5"/>
    <mergeCell ref="U5:V5"/>
    <mergeCell ref="C5:C6"/>
    <mergeCell ref="A1:A4"/>
    <mergeCell ref="R5:R6"/>
    <mergeCell ref="A5:A6"/>
    <mergeCell ref="K5:M5"/>
    <mergeCell ref="B1:S2"/>
    <mergeCell ref="A26:X26"/>
    <mergeCell ref="A27:X27"/>
    <mergeCell ref="A28:X28"/>
    <mergeCell ref="N5:P5"/>
    <mergeCell ref="S5:T5"/>
    <mergeCell ref="E5:G5"/>
    <mergeCell ref="W5:W6"/>
    <mergeCell ref="B5:B6"/>
    <mergeCell ref="X5:X6"/>
    <mergeCell ref="D5:D6"/>
    <mergeCell ref="A25:B25"/>
    <mergeCell ref="E25:F25"/>
    <mergeCell ref="H25:I25"/>
  </mergeCells>
  <phoneticPr fontId="10" type="noConversion"/>
  <pageMargins left="0.25" right="0.25" top="0.75" bottom="0.75" header="0.3" footer="0.3"/>
  <pageSetup paperSize="5" orientation="landscape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-0.499984740745262"/>
  </sheetPr>
  <dimension ref="A1:AI25"/>
  <sheetViews>
    <sheetView zoomScale="106" zoomScaleNormal="106" workbookViewId="0">
      <selection activeCell="B1" sqref="B1:S2"/>
    </sheetView>
  </sheetViews>
  <sheetFormatPr defaultColWidth="9.140625" defaultRowHeight="15"/>
  <cols>
    <col min="1" max="1" width="25.140625" customWidth="1"/>
    <col min="2" max="2" width="6.5703125" customWidth="1"/>
    <col min="3" max="3" width="5.7109375" style="1" customWidth="1"/>
    <col min="4" max="4" width="6.140625" style="1" customWidth="1"/>
    <col min="5" max="23" width="5.7109375" style="1" customWidth="1"/>
    <col min="24" max="24" width="6.140625" style="1" customWidth="1"/>
    <col min="25" max="255" width="11.42578125" customWidth="1"/>
  </cols>
  <sheetData>
    <row r="1" spans="1:24" ht="14.25" customHeight="1">
      <c r="A1" s="485"/>
      <c r="B1" s="421" t="s">
        <v>205</v>
      </c>
      <c r="C1" s="421"/>
      <c r="D1" s="421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1"/>
      <c r="Q1" s="421"/>
      <c r="R1" s="421"/>
      <c r="S1" s="421"/>
      <c r="T1" s="409"/>
      <c r="U1" s="409"/>
      <c r="V1" s="409"/>
      <c r="W1" s="409"/>
      <c r="X1" s="410"/>
    </row>
    <row r="2" spans="1:24" ht="14.25" customHeight="1">
      <c r="A2" s="486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11"/>
      <c r="U2" s="411"/>
      <c r="V2" s="411"/>
      <c r="W2" s="411"/>
      <c r="X2" s="412"/>
    </row>
    <row r="3" spans="1:24" ht="15" customHeight="1">
      <c r="A3" s="486"/>
      <c r="B3" s="484" t="s">
        <v>206</v>
      </c>
      <c r="C3" s="484"/>
      <c r="D3" s="484"/>
      <c r="E3" s="484"/>
      <c r="F3" s="484"/>
      <c r="G3" s="484"/>
      <c r="H3" s="484"/>
      <c r="I3" s="484"/>
      <c r="J3" s="484"/>
      <c r="K3" s="484"/>
      <c r="L3" s="484"/>
      <c r="M3" s="484"/>
      <c r="N3" s="484"/>
      <c r="O3" s="484"/>
      <c r="P3" s="484"/>
      <c r="Q3" s="484"/>
      <c r="R3" s="484"/>
      <c r="S3" s="484"/>
      <c r="T3" s="411"/>
      <c r="U3" s="411"/>
      <c r="V3" s="411"/>
      <c r="W3" s="411"/>
      <c r="X3" s="412"/>
    </row>
    <row r="4" spans="1:24" ht="15.75" customHeight="1">
      <c r="A4" s="486"/>
      <c r="B4" s="484"/>
      <c r="C4" s="484"/>
      <c r="D4" s="484"/>
      <c r="E4" s="484"/>
      <c r="F4" s="484"/>
      <c r="G4" s="484"/>
      <c r="H4" s="484"/>
      <c r="I4" s="484"/>
      <c r="J4" s="484"/>
      <c r="K4" s="484"/>
      <c r="L4" s="484"/>
      <c r="M4" s="484"/>
      <c r="N4" s="484"/>
      <c r="O4" s="484"/>
      <c r="P4" s="484"/>
      <c r="Q4" s="484"/>
      <c r="R4" s="484"/>
      <c r="S4" s="484"/>
      <c r="T4" s="411"/>
      <c r="U4" s="411"/>
      <c r="V4" s="411"/>
      <c r="W4" s="411"/>
      <c r="X4" s="412"/>
    </row>
    <row r="5" spans="1:24" ht="15" customHeight="1">
      <c r="A5" s="413" t="s">
        <v>2</v>
      </c>
      <c r="B5" s="430" t="s">
        <v>3</v>
      </c>
      <c r="C5" s="415" t="s">
        <v>4</v>
      </c>
      <c r="D5" s="468" t="s">
        <v>5</v>
      </c>
      <c r="E5" s="434" t="s">
        <v>6</v>
      </c>
      <c r="F5" s="435"/>
      <c r="G5" s="430"/>
      <c r="H5" s="434" t="s">
        <v>7</v>
      </c>
      <c r="I5" s="435"/>
      <c r="J5" s="427"/>
      <c r="K5" s="426" t="s">
        <v>8</v>
      </c>
      <c r="L5" s="435"/>
      <c r="M5" s="427"/>
      <c r="N5" s="428" t="s">
        <v>9</v>
      </c>
      <c r="O5" s="439"/>
      <c r="P5" s="429"/>
      <c r="Q5" s="419" t="s">
        <v>10</v>
      </c>
      <c r="R5" s="415" t="s">
        <v>11</v>
      </c>
      <c r="S5" s="426" t="s">
        <v>12</v>
      </c>
      <c r="T5" s="427"/>
      <c r="U5" s="428" t="s">
        <v>13</v>
      </c>
      <c r="V5" s="429"/>
      <c r="W5" s="424" t="s">
        <v>14</v>
      </c>
      <c r="X5" s="419" t="s">
        <v>15</v>
      </c>
    </row>
    <row r="6" spans="1:24" ht="14.25" customHeight="1">
      <c r="A6" s="414"/>
      <c r="B6" s="431"/>
      <c r="C6" s="416"/>
      <c r="D6" s="438"/>
      <c r="E6" s="135" t="s">
        <v>16</v>
      </c>
      <c r="F6" s="134" t="s">
        <v>17</v>
      </c>
      <c r="G6" s="132" t="s">
        <v>18</v>
      </c>
      <c r="H6" s="135" t="s">
        <v>16</v>
      </c>
      <c r="I6" s="134" t="s">
        <v>17</v>
      </c>
      <c r="J6" s="136" t="s">
        <v>18</v>
      </c>
      <c r="K6" s="133" t="s">
        <v>16</v>
      </c>
      <c r="L6" s="134" t="s">
        <v>17</v>
      </c>
      <c r="M6" s="136" t="s">
        <v>18</v>
      </c>
      <c r="N6" s="145" t="s">
        <v>19</v>
      </c>
      <c r="O6" s="141" t="s">
        <v>20</v>
      </c>
      <c r="P6" s="146" t="s">
        <v>21</v>
      </c>
      <c r="Q6" s="420"/>
      <c r="R6" s="416"/>
      <c r="S6" s="133" t="s">
        <v>22</v>
      </c>
      <c r="T6" s="136" t="s">
        <v>23</v>
      </c>
      <c r="U6" s="145" t="s">
        <v>24</v>
      </c>
      <c r="V6" s="146" t="s">
        <v>25</v>
      </c>
      <c r="W6" s="477"/>
      <c r="X6" s="420"/>
    </row>
    <row r="7" spans="1:24" ht="18.75" customHeight="1">
      <c r="A7" s="94" t="s">
        <v>207</v>
      </c>
      <c r="B7" s="52" t="s">
        <v>33</v>
      </c>
      <c r="C7" s="57">
        <v>5</v>
      </c>
      <c r="D7" s="232">
        <v>17.600000000000001</v>
      </c>
      <c r="E7" s="30">
        <f>32/5</f>
        <v>6.4</v>
      </c>
      <c r="F7" s="6">
        <f>63/5</f>
        <v>12.6</v>
      </c>
      <c r="G7" s="177">
        <v>50.8</v>
      </c>
      <c r="H7" s="30">
        <f>2/5</f>
        <v>0.4</v>
      </c>
      <c r="I7" s="6">
        <f>8/5</f>
        <v>1.6</v>
      </c>
      <c r="J7" s="167">
        <v>25</v>
      </c>
      <c r="K7" s="26">
        <f>18/5</f>
        <v>3.6</v>
      </c>
      <c r="L7" s="6">
        <f>28/5</f>
        <v>5.6</v>
      </c>
      <c r="M7" s="167">
        <v>64.3</v>
      </c>
      <c r="N7" s="26">
        <v>6.6</v>
      </c>
      <c r="O7" s="6">
        <v>5</v>
      </c>
      <c r="P7" s="27">
        <v>11.6</v>
      </c>
      <c r="Q7" s="285">
        <v>3</v>
      </c>
      <c r="R7" s="57">
        <v>0.6</v>
      </c>
      <c r="S7" s="26">
        <v>0.8</v>
      </c>
      <c r="T7" s="103">
        <v>1</v>
      </c>
      <c r="U7" s="26">
        <v>2.8</v>
      </c>
      <c r="V7" s="100" t="s">
        <v>28</v>
      </c>
      <c r="W7" s="287" t="s">
        <v>208</v>
      </c>
      <c r="X7" s="272">
        <v>24.4</v>
      </c>
    </row>
    <row r="8" spans="1:24" ht="18.75" customHeight="1">
      <c r="A8" s="127" t="s">
        <v>209</v>
      </c>
      <c r="B8" s="51" t="s">
        <v>27</v>
      </c>
      <c r="C8" s="56">
        <v>23</v>
      </c>
      <c r="D8" s="233">
        <v>16.899999999999999</v>
      </c>
      <c r="E8" s="29">
        <f>107/23</f>
        <v>4.6521739130434785</v>
      </c>
      <c r="F8" s="12">
        <f>190/23</f>
        <v>8.2608695652173907</v>
      </c>
      <c r="G8" s="176">
        <v>56.3</v>
      </c>
      <c r="H8" s="29">
        <f>30/23</f>
        <v>1.3043478260869565</v>
      </c>
      <c r="I8" s="12">
        <f>120/23</f>
        <v>5.2173913043478262</v>
      </c>
      <c r="J8" s="216">
        <v>25</v>
      </c>
      <c r="K8" s="25">
        <f>85/23</f>
        <v>3.6956521739130435</v>
      </c>
      <c r="L8" s="12">
        <f>151/23</f>
        <v>6.5652173913043477</v>
      </c>
      <c r="M8" s="165">
        <v>56.3</v>
      </c>
      <c r="N8" s="25">
        <v>7</v>
      </c>
      <c r="O8" s="11">
        <v>1.6</v>
      </c>
      <c r="P8" s="33">
        <v>8.5</v>
      </c>
      <c r="Q8" s="286">
        <v>2.9</v>
      </c>
      <c r="R8" s="56">
        <v>1.3</v>
      </c>
      <c r="S8" s="47">
        <v>2.9</v>
      </c>
      <c r="T8" s="102">
        <v>3</v>
      </c>
      <c r="U8" s="47">
        <v>1.8</v>
      </c>
      <c r="V8" s="99" t="s">
        <v>28</v>
      </c>
      <c r="W8" s="286" t="s">
        <v>210</v>
      </c>
      <c r="X8" s="273">
        <v>23</v>
      </c>
    </row>
    <row r="9" spans="1:24" ht="18.75" customHeight="1">
      <c r="A9" s="94" t="s">
        <v>211</v>
      </c>
      <c r="B9" s="52" t="s">
        <v>33</v>
      </c>
      <c r="C9" s="57">
        <v>5</v>
      </c>
      <c r="D9" s="232">
        <v>12</v>
      </c>
      <c r="E9" s="30">
        <f>13/5</f>
        <v>2.6</v>
      </c>
      <c r="F9" s="6">
        <f>30/5</f>
        <v>6</v>
      </c>
      <c r="G9" s="175">
        <v>43.3</v>
      </c>
      <c r="H9" s="30">
        <f>6/5</f>
        <v>1.2</v>
      </c>
      <c r="I9" s="6">
        <f>15/5</f>
        <v>3</v>
      </c>
      <c r="J9" s="167">
        <v>40</v>
      </c>
      <c r="K9" s="26">
        <f>16/5</f>
        <v>3.2</v>
      </c>
      <c r="L9" s="6">
        <f>19/5</f>
        <v>3.8</v>
      </c>
      <c r="M9" s="166">
        <v>84.2</v>
      </c>
      <c r="N9" s="26">
        <v>5</v>
      </c>
      <c r="O9" s="7">
        <v>2.8</v>
      </c>
      <c r="P9" s="27">
        <v>7.8</v>
      </c>
      <c r="Q9" s="287">
        <v>1.4</v>
      </c>
      <c r="R9" s="57">
        <v>0.6</v>
      </c>
      <c r="S9" s="49">
        <v>1.6</v>
      </c>
      <c r="T9" s="103">
        <v>1</v>
      </c>
      <c r="U9" s="49">
        <v>2.4</v>
      </c>
      <c r="V9" s="100" t="s">
        <v>28</v>
      </c>
      <c r="W9" s="287" t="s">
        <v>212</v>
      </c>
      <c r="X9" s="214">
        <v>15.6</v>
      </c>
    </row>
    <row r="10" spans="1:24" ht="18.75" customHeight="1">
      <c r="A10" s="127" t="s">
        <v>213</v>
      </c>
      <c r="B10" s="51" t="s">
        <v>33</v>
      </c>
      <c r="C10" s="56">
        <v>27</v>
      </c>
      <c r="D10" s="233">
        <v>17.600000000000001</v>
      </c>
      <c r="E10" s="29">
        <f>87/27</f>
        <v>3.2222222222222223</v>
      </c>
      <c r="F10" s="12">
        <f>148/27</f>
        <v>5.4814814814814818</v>
      </c>
      <c r="G10" s="176">
        <v>58.8</v>
      </c>
      <c r="H10" s="29">
        <f>76/27</f>
        <v>2.8148148148148149</v>
      </c>
      <c r="I10" s="12">
        <f>202/27</f>
        <v>7.4814814814814818</v>
      </c>
      <c r="J10" s="216">
        <v>37.6</v>
      </c>
      <c r="K10" s="25">
        <f>73/27</f>
        <v>2.7037037037037037</v>
      </c>
      <c r="L10" s="12">
        <f>92/27</f>
        <v>3.4074074074074074</v>
      </c>
      <c r="M10" s="216">
        <v>79.3</v>
      </c>
      <c r="N10" s="25">
        <v>2</v>
      </c>
      <c r="O10" s="12">
        <v>0.7</v>
      </c>
      <c r="P10" s="33">
        <v>2.7</v>
      </c>
      <c r="Q10" s="288">
        <v>1.9</v>
      </c>
      <c r="R10" s="56">
        <v>0</v>
      </c>
      <c r="S10" s="25">
        <v>2</v>
      </c>
      <c r="T10" s="22">
        <v>1.4</v>
      </c>
      <c r="U10" s="25">
        <v>1.4</v>
      </c>
      <c r="V10" s="99" t="s">
        <v>28</v>
      </c>
      <c r="W10" s="286" t="s">
        <v>214</v>
      </c>
      <c r="X10" s="213">
        <v>14.8</v>
      </c>
    </row>
    <row r="11" spans="1:24" ht="18.75" customHeight="1">
      <c r="A11" s="94" t="s">
        <v>215</v>
      </c>
      <c r="B11" s="52" t="s">
        <v>33</v>
      </c>
      <c r="C11" s="57">
        <v>25</v>
      </c>
      <c r="D11" s="234">
        <v>8.4</v>
      </c>
      <c r="E11" s="30">
        <f>41/25</f>
        <v>1.64</v>
      </c>
      <c r="F11" s="6">
        <f>89/25</f>
        <v>3.56</v>
      </c>
      <c r="G11" s="177">
        <v>46.1</v>
      </c>
      <c r="H11" s="30">
        <f>28/25</f>
        <v>1.1200000000000001</v>
      </c>
      <c r="I11" s="6">
        <f>112/25</f>
        <v>4.4800000000000004</v>
      </c>
      <c r="J11" s="167">
        <v>25</v>
      </c>
      <c r="K11" s="26">
        <f>43/25</f>
        <v>1.72</v>
      </c>
      <c r="L11" s="6">
        <f>60/25</f>
        <v>2.4</v>
      </c>
      <c r="M11" s="167">
        <v>71.7</v>
      </c>
      <c r="N11" s="49">
        <v>3.7</v>
      </c>
      <c r="O11" s="6">
        <v>1.4</v>
      </c>
      <c r="P11" s="27">
        <v>5.0999999999999996</v>
      </c>
      <c r="Q11" s="287">
        <v>0.7</v>
      </c>
      <c r="R11" s="57">
        <v>0.6</v>
      </c>
      <c r="S11" s="49">
        <v>1.3</v>
      </c>
      <c r="T11" s="23">
        <v>0.6</v>
      </c>
      <c r="U11" s="26">
        <v>2</v>
      </c>
      <c r="V11" s="100" t="s">
        <v>28</v>
      </c>
      <c r="W11" s="287" t="s">
        <v>216</v>
      </c>
      <c r="X11" s="214">
        <v>7.6</v>
      </c>
    </row>
    <row r="12" spans="1:24" ht="18.75" customHeight="1">
      <c r="A12" s="127" t="s">
        <v>217</v>
      </c>
      <c r="B12" s="51" t="s">
        <v>59</v>
      </c>
      <c r="C12" s="56">
        <v>28</v>
      </c>
      <c r="D12" s="233">
        <v>6.6</v>
      </c>
      <c r="E12" s="29">
        <f>50/28</f>
        <v>1.7857142857142858</v>
      </c>
      <c r="F12" s="12">
        <f>93/28</f>
        <v>3.3214285714285716</v>
      </c>
      <c r="G12" s="174">
        <v>53.8</v>
      </c>
      <c r="H12" s="29">
        <f>11/28</f>
        <v>0.39285714285714285</v>
      </c>
      <c r="I12" s="12">
        <f>55/28</f>
        <v>1.9642857142857142</v>
      </c>
      <c r="J12" s="216">
        <v>20</v>
      </c>
      <c r="K12" s="25">
        <f>53/28</f>
        <v>1.8928571428571428</v>
      </c>
      <c r="L12" s="12">
        <f>77/28</f>
        <v>2.75</v>
      </c>
      <c r="M12" s="216">
        <v>68.8</v>
      </c>
      <c r="N12" s="47">
        <v>2.1</v>
      </c>
      <c r="O12" s="12">
        <v>1</v>
      </c>
      <c r="P12" s="33">
        <v>3.1</v>
      </c>
      <c r="Q12" s="288">
        <v>1</v>
      </c>
      <c r="R12" s="56">
        <v>0.3</v>
      </c>
      <c r="S12" s="25">
        <v>1.3</v>
      </c>
      <c r="T12" s="22">
        <v>0.8</v>
      </c>
      <c r="U12" s="47">
        <v>1.7</v>
      </c>
      <c r="V12" s="99" t="s">
        <v>28</v>
      </c>
      <c r="W12" s="286" t="s">
        <v>214</v>
      </c>
      <c r="X12" s="273">
        <v>6</v>
      </c>
    </row>
    <row r="13" spans="1:24" ht="18.75" customHeight="1">
      <c r="A13" s="94" t="s">
        <v>218</v>
      </c>
      <c r="B13" s="52" t="s">
        <v>27</v>
      </c>
      <c r="C13" s="57">
        <v>28</v>
      </c>
      <c r="D13" s="232">
        <v>5</v>
      </c>
      <c r="E13" s="30">
        <f>34/28</f>
        <v>1.2142857142857142</v>
      </c>
      <c r="F13" s="6">
        <f>52/28</f>
        <v>1.8571428571428572</v>
      </c>
      <c r="G13" s="175">
        <v>47.2</v>
      </c>
      <c r="H13" s="30">
        <f>14/28</f>
        <v>0.5</v>
      </c>
      <c r="I13" s="6">
        <f>39/28</f>
        <v>1.3928571428571428</v>
      </c>
      <c r="J13" s="167">
        <v>35.9</v>
      </c>
      <c r="K13" s="26">
        <f>30/28</f>
        <v>1.0714285714285714</v>
      </c>
      <c r="L13" s="6">
        <f>42/28</f>
        <v>1.5</v>
      </c>
      <c r="M13" s="167">
        <v>71.400000000000006</v>
      </c>
      <c r="N13" s="49">
        <v>1.9</v>
      </c>
      <c r="O13" s="6">
        <v>1</v>
      </c>
      <c r="P13" s="27">
        <v>2.9</v>
      </c>
      <c r="Q13" s="285">
        <v>1</v>
      </c>
      <c r="R13" s="57">
        <v>0.1</v>
      </c>
      <c r="S13" s="49">
        <v>1.1000000000000001</v>
      </c>
      <c r="T13" s="23">
        <v>0.7</v>
      </c>
      <c r="U13" s="49">
        <v>1.8</v>
      </c>
      <c r="V13" s="100" t="s">
        <v>28</v>
      </c>
      <c r="W13" s="287" t="s">
        <v>219</v>
      </c>
      <c r="X13" s="214">
        <v>5.5</v>
      </c>
    </row>
    <row r="14" spans="1:24" ht="18.75" customHeight="1">
      <c r="A14" s="127" t="s">
        <v>220</v>
      </c>
      <c r="B14" s="51" t="s">
        <v>33</v>
      </c>
      <c r="C14" s="56">
        <v>30</v>
      </c>
      <c r="D14" s="233">
        <v>4.4000000000000004</v>
      </c>
      <c r="E14" s="29">
        <f>50/30</f>
        <v>1.6666666666666667</v>
      </c>
      <c r="F14" s="12">
        <f>89/30</f>
        <v>2.9666666666666668</v>
      </c>
      <c r="G14" s="176">
        <v>56.2</v>
      </c>
      <c r="H14" s="29">
        <v>0.1</v>
      </c>
      <c r="I14" s="12">
        <f>6/30</f>
        <v>0.2</v>
      </c>
      <c r="J14" s="216">
        <v>16.7</v>
      </c>
      <c r="K14" s="25">
        <f>29/30</f>
        <v>0.96666666666666667</v>
      </c>
      <c r="L14" s="12">
        <f>52/30</f>
        <v>1.7333333333333334</v>
      </c>
      <c r="M14" s="165">
        <v>55.8</v>
      </c>
      <c r="N14" s="25">
        <v>2</v>
      </c>
      <c r="O14" s="11">
        <v>1.5</v>
      </c>
      <c r="P14" s="33">
        <v>3.5</v>
      </c>
      <c r="Q14" s="286">
        <v>0.4</v>
      </c>
      <c r="R14" s="56">
        <v>0.5</v>
      </c>
      <c r="S14" s="25">
        <v>1</v>
      </c>
      <c r="T14" s="22">
        <v>0.4</v>
      </c>
      <c r="U14" s="47">
        <v>1.9</v>
      </c>
      <c r="V14" s="99" t="s">
        <v>28</v>
      </c>
      <c r="W14" s="286" t="s">
        <v>221</v>
      </c>
      <c r="X14" s="213">
        <v>5.5</v>
      </c>
    </row>
    <row r="15" spans="1:24" ht="18.75" customHeight="1">
      <c r="A15" s="94" t="s">
        <v>222</v>
      </c>
      <c r="B15" s="52" t="s">
        <v>27</v>
      </c>
      <c r="C15" s="57">
        <v>28</v>
      </c>
      <c r="D15" s="232">
        <v>4.2</v>
      </c>
      <c r="E15" s="30">
        <f>41/28</f>
        <v>1.4642857142857142</v>
      </c>
      <c r="F15" s="6">
        <f>83/28</f>
        <v>2.9642857142857144</v>
      </c>
      <c r="G15" s="175">
        <v>49.4</v>
      </c>
      <c r="H15" s="282">
        <v>0</v>
      </c>
      <c r="I15" s="8">
        <v>0</v>
      </c>
      <c r="J15" s="217">
        <v>0</v>
      </c>
      <c r="K15" s="26">
        <f>35/28</f>
        <v>1.25</v>
      </c>
      <c r="L15" s="6">
        <f>56/28</f>
        <v>2</v>
      </c>
      <c r="M15" s="167">
        <v>62.5</v>
      </c>
      <c r="N15" s="49">
        <v>1.6</v>
      </c>
      <c r="O15" s="6">
        <v>1</v>
      </c>
      <c r="P15" s="27">
        <v>2.6</v>
      </c>
      <c r="Q15" s="285">
        <v>0.4</v>
      </c>
      <c r="R15" s="57">
        <v>0.2</v>
      </c>
      <c r="S15" s="49">
        <v>0.6</v>
      </c>
      <c r="T15" s="23">
        <v>0.5</v>
      </c>
      <c r="U15" s="49">
        <v>1.4</v>
      </c>
      <c r="V15" s="100" t="s">
        <v>28</v>
      </c>
      <c r="W15" s="287" t="s">
        <v>223</v>
      </c>
      <c r="X15" s="214">
        <v>4.8</v>
      </c>
    </row>
    <row r="16" spans="1:24" ht="18.75" customHeight="1">
      <c r="A16" s="127" t="s">
        <v>224</v>
      </c>
      <c r="B16" s="51" t="s">
        <v>27</v>
      </c>
      <c r="C16" s="56">
        <v>29</v>
      </c>
      <c r="D16" s="233">
        <v>4.2</v>
      </c>
      <c r="E16" s="29">
        <f>24/29</f>
        <v>0.82758620689655171</v>
      </c>
      <c r="F16" s="12">
        <f>54/29</f>
        <v>1.8620689655172413</v>
      </c>
      <c r="G16" s="174">
        <v>44.4</v>
      </c>
      <c r="H16" s="29">
        <f>13/29</f>
        <v>0.44827586206896552</v>
      </c>
      <c r="I16" s="12">
        <f>30/29</f>
        <v>1.0344827586206897</v>
      </c>
      <c r="J16" s="216">
        <v>43.3</v>
      </c>
      <c r="K16" s="25">
        <f>34/29</f>
        <v>1.1724137931034482</v>
      </c>
      <c r="L16" s="12">
        <f>51/29</f>
        <v>1.7586206896551724</v>
      </c>
      <c r="M16" s="216">
        <v>66.7</v>
      </c>
      <c r="N16" s="47">
        <v>1.4</v>
      </c>
      <c r="O16" s="11">
        <v>0.6</v>
      </c>
      <c r="P16" s="33">
        <v>1.9</v>
      </c>
      <c r="Q16" s="286">
        <v>2.1</v>
      </c>
      <c r="R16" s="249">
        <v>0</v>
      </c>
      <c r="S16" s="25">
        <v>1.3</v>
      </c>
      <c r="T16" s="22">
        <v>0.7</v>
      </c>
      <c r="U16" s="47">
        <v>2.2999999999999998</v>
      </c>
      <c r="V16" s="99" t="s">
        <v>28</v>
      </c>
      <c r="W16" s="286" t="s">
        <v>225</v>
      </c>
      <c r="X16" s="273">
        <v>4.5999999999999996</v>
      </c>
    </row>
    <row r="17" spans="1:35" ht="18.75" customHeight="1">
      <c r="A17" s="94" t="s">
        <v>226</v>
      </c>
      <c r="B17" s="52" t="s">
        <v>27</v>
      </c>
      <c r="C17" s="57">
        <v>23</v>
      </c>
      <c r="D17" s="234">
        <v>4.5</v>
      </c>
      <c r="E17" s="30">
        <f>38/23</f>
        <v>1.6521739130434783</v>
      </c>
      <c r="F17" s="6">
        <f>65/23</f>
        <v>2.8260869565217392</v>
      </c>
      <c r="G17" s="175">
        <v>58.5</v>
      </c>
      <c r="H17" s="282">
        <v>0</v>
      </c>
      <c r="I17" s="6">
        <f>7/23</f>
        <v>0.30434782608695654</v>
      </c>
      <c r="J17" s="217">
        <v>0</v>
      </c>
      <c r="K17" s="26">
        <f>28/23</f>
        <v>1.2173913043478262</v>
      </c>
      <c r="L17" s="6">
        <f>55/23</f>
        <v>2.3913043478260869</v>
      </c>
      <c r="M17" s="167">
        <v>50.9</v>
      </c>
      <c r="N17" s="26">
        <v>1.6</v>
      </c>
      <c r="O17" s="6">
        <v>1.4</v>
      </c>
      <c r="P17" s="27">
        <v>3</v>
      </c>
      <c r="Q17" s="287">
        <v>0.6</v>
      </c>
      <c r="R17" s="57">
        <v>0.3</v>
      </c>
      <c r="S17" s="26">
        <v>1</v>
      </c>
      <c r="T17" s="23">
        <v>0.1</v>
      </c>
      <c r="U17" s="26">
        <v>2.2000000000000002</v>
      </c>
      <c r="V17" s="100" t="s">
        <v>28</v>
      </c>
      <c r="W17" s="287" t="s">
        <v>85</v>
      </c>
      <c r="X17" s="214">
        <v>4.0999999999999996</v>
      </c>
    </row>
    <row r="18" spans="1:35" ht="18.75" customHeight="1">
      <c r="A18" s="127" t="s">
        <v>227</v>
      </c>
      <c r="B18" s="51" t="s">
        <v>27</v>
      </c>
      <c r="C18" s="56">
        <v>27</v>
      </c>
      <c r="D18" s="235">
        <v>4.0999999999999996</v>
      </c>
      <c r="E18" s="29">
        <f>42/27</f>
        <v>1.5555555555555556</v>
      </c>
      <c r="F18" s="12">
        <f>82/27</f>
        <v>3.0370370370370372</v>
      </c>
      <c r="G18" s="174">
        <v>51.2</v>
      </c>
      <c r="H18" s="283">
        <v>0</v>
      </c>
      <c r="I18" s="12">
        <v>2.7</v>
      </c>
      <c r="J18" s="218">
        <v>0</v>
      </c>
      <c r="K18" s="25">
        <f>1</f>
        <v>1</v>
      </c>
      <c r="L18" s="12">
        <f>48/27</f>
        <v>1.7777777777777777</v>
      </c>
      <c r="M18" s="165">
        <v>56.3</v>
      </c>
      <c r="N18" s="47">
        <v>1.1000000000000001</v>
      </c>
      <c r="O18" s="12">
        <v>0.7</v>
      </c>
      <c r="P18" s="33">
        <v>1.8</v>
      </c>
      <c r="Q18" s="286">
        <v>0.7</v>
      </c>
      <c r="R18" s="56">
        <v>0</v>
      </c>
      <c r="S18" s="25">
        <v>0.7</v>
      </c>
      <c r="T18" s="22">
        <v>0.6</v>
      </c>
      <c r="U18" s="47">
        <v>1.1000000000000001</v>
      </c>
      <c r="V18" s="99" t="s">
        <v>28</v>
      </c>
      <c r="W18" s="286" t="s">
        <v>197</v>
      </c>
      <c r="X18" s="273">
        <v>4</v>
      </c>
    </row>
    <row r="19" spans="1:35" ht="18.75" customHeight="1">
      <c r="A19" s="94" t="s">
        <v>228</v>
      </c>
      <c r="B19" s="52" t="s">
        <v>27</v>
      </c>
      <c r="C19" s="57">
        <v>30</v>
      </c>
      <c r="D19" s="234">
        <v>4.7</v>
      </c>
      <c r="E19" s="30">
        <f>22/30</f>
        <v>0.73333333333333328</v>
      </c>
      <c r="F19" s="6">
        <f>2</f>
        <v>2</v>
      </c>
      <c r="G19" s="177">
        <v>36.700000000000003</v>
      </c>
      <c r="H19" s="30">
        <f>25/30</f>
        <v>0.83333333333333337</v>
      </c>
      <c r="I19" s="6">
        <f>89/30</f>
        <v>2.9666666666666668</v>
      </c>
      <c r="J19" s="167">
        <v>28.1</v>
      </c>
      <c r="K19" s="26">
        <f>22/30</f>
        <v>0.73333333333333328</v>
      </c>
      <c r="L19" s="6">
        <v>1</v>
      </c>
      <c r="M19" s="167">
        <v>73.3</v>
      </c>
      <c r="N19" s="26">
        <v>1.1000000000000001</v>
      </c>
      <c r="O19" s="7">
        <v>0.7</v>
      </c>
      <c r="P19" s="27">
        <v>1.8</v>
      </c>
      <c r="Q19" s="287">
        <v>2.7</v>
      </c>
      <c r="R19" s="57">
        <v>0</v>
      </c>
      <c r="S19" s="49">
        <v>1.6</v>
      </c>
      <c r="T19" s="103">
        <v>1</v>
      </c>
      <c r="U19" s="26">
        <v>2</v>
      </c>
      <c r="V19" s="100" t="s">
        <v>28</v>
      </c>
      <c r="W19" s="287" t="s">
        <v>229</v>
      </c>
      <c r="X19" s="214">
        <v>3.9</v>
      </c>
    </row>
    <row r="20" spans="1:35" ht="18.75" customHeight="1">
      <c r="A20" s="128" t="s">
        <v>230</v>
      </c>
      <c r="B20" s="75" t="s">
        <v>27</v>
      </c>
      <c r="C20" s="73">
        <v>24</v>
      </c>
      <c r="D20" s="240">
        <v>2.2999999999999998</v>
      </c>
      <c r="E20" s="241">
        <f>14/24</f>
        <v>0.58333333333333337</v>
      </c>
      <c r="F20" s="69">
        <f>44/24</f>
        <v>1.8333333333333333</v>
      </c>
      <c r="G20" s="224">
        <v>31.8</v>
      </c>
      <c r="H20" s="241">
        <f>3/24</f>
        <v>0.125</v>
      </c>
      <c r="I20" s="69">
        <f>26/24</f>
        <v>1.0833333333333333</v>
      </c>
      <c r="J20" s="171">
        <v>11.5</v>
      </c>
      <c r="K20" s="68">
        <f>18/24</f>
        <v>0.75</v>
      </c>
      <c r="L20" s="69">
        <f>30/24</f>
        <v>1.25</v>
      </c>
      <c r="M20" s="171">
        <v>60</v>
      </c>
      <c r="N20" s="68">
        <v>1.6</v>
      </c>
      <c r="O20" s="69">
        <v>1</v>
      </c>
      <c r="P20" s="242">
        <v>2.6</v>
      </c>
      <c r="Q20" s="293">
        <v>2</v>
      </c>
      <c r="R20" s="294">
        <v>0</v>
      </c>
      <c r="S20" s="74">
        <v>1.2</v>
      </c>
      <c r="T20" s="66">
        <v>0.7</v>
      </c>
      <c r="U20" s="68">
        <v>2</v>
      </c>
      <c r="V20" s="243" t="s">
        <v>28</v>
      </c>
      <c r="W20" s="295" t="s">
        <v>231</v>
      </c>
      <c r="X20" s="228">
        <v>2.5</v>
      </c>
    </row>
    <row r="21" spans="1:35" s="2" customFormat="1" ht="18.75" customHeight="1">
      <c r="A21" s="448" t="s">
        <v>232</v>
      </c>
      <c r="B21" s="449"/>
      <c r="C21" s="88">
        <v>31</v>
      </c>
      <c r="D21" s="244">
        <v>75.5</v>
      </c>
      <c r="E21" s="230">
        <v>19.399999999999999</v>
      </c>
      <c r="F21" s="81">
        <v>38</v>
      </c>
      <c r="G21" s="83">
        <v>50.9</v>
      </c>
      <c r="H21" s="230">
        <v>6.7</v>
      </c>
      <c r="I21" s="81">
        <v>23.4</v>
      </c>
      <c r="J21" s="82">
        <v>28.9</v>
      </c>
      <c r="K21" s="80">
        <v>16.600000000000001</v>
      </c>
      <c r="L21" s="81">
        <v>25.6</v>
      </c>
      <c r="M21" s="82">
        <v>64.7</v>
      </c>
      <c r="N21" s="89">
        <v>24.2</v>
      </c>
      <c r="O21" s="85">
        <v>11.7</v>
      </c>
      <c r="P21" s="245">
        <v>35.9</v>
      </c>
      <c r="Q21" s="296">
        <v>15</v>
      </c>
      <c r="R21" s="88">
        <v>2.9</v>
      </c>
      <c r="S21" s="89">
        <v>14.2</v>
      </c>
      <c r="T21" s="122">
        <v>9.1</v>
      </c>
      <c r="U21" s="89">
        <v>19.8</v>
      </c>
      <c r="V21" s="270"/>
      <c r="W21" s="124"/>
      <c r="X21" s="231">
        <v>78.8</v>
      </c>
      <c r="Y21"/>
      <c r="Z21"/>
    </row>
    <row r="22" spans="1:35" s="2" customFormat="1" ht="18.75" customHeight="1">
      <c r="A22" s="440" t="s">
        <v>62</v>
      </c>
      <c r="B22" s="483"/>
      <c r="C22" s="180">
        <v>31</v>
      </c>
      <c r="D22" s="292">
        <v>75.7</v>
      </c>
      <c r="E22" s="447"/>
      <c r="F22" s="447"/>
      <c r="G22" s="180">
        <v>51.8</v>
      </c>
      <c r="H22" s="443"/>
      <c r="I22" s="443"/>
      <c r="J22" s="180">
        <v>29.4</v>
      </c>
      <c r="K22" s="443"/>
      <c r="L22" s="443"/>
      <c r="M22" s="443"/>
      <c r="N22" s="443"/>
      <c r="O22" s="443"/>
      <c r="P22" s="443"/>
      <c r="Q22" s="443"/>
      <c r="R22" s="443"/>
      <c r="S22" s="443"/>
      <c r="T22" s="443"/>
      <c r="U22" s="443"/>
      <c r="V22" s="443"/>
      <c r="W22" s="443"/>
      <c r="X22" s="444"/>
      <c r="Y22"/>
      <c r="Z22"/>
    </row>
    <row r="23" spans="1:35" s="2" customFormat="1" ht="18.75" customHeight="1">
      <c r="A23" s="437" t="s">
        <v>233</v>
      </c>
      <c r="B23" s="437"/>
      <c r="C23" s="437"/>
      <c r="D23" s="437"/>
      <c r="E23" s="437"/>
      <c r="F23" s="437"/>
      <c r="G23" s="437"/>
      <c r="H23" s="437"/>
      <c r="I23" s="437"/>
      <c r="J23" s="437"/>
      <c r="K23" s="437"/>
      <c r="L23" s="437"/>
      <c r="M23" s="437"/>
      <c r="N23" s="437"/>
      <c r="O23" s="437"/>
      <c r="P23" s="437"/>
      <c r="Q23" s="437"/>
      <c r="R23" s="437"/>
      <c r="S23" s="437"/>
      <c r="T23" s="437"/>
      <c r="U23" s="437"/>
      <c r="V23" s="437"/>
      <c r="W23" s="437"/>
      <c r="X23" s="437"/>
      <c r="Y23"/>
      <c r="Z23"/>
    </row>
    <row r="24" spans="1:35" s="2" customFormat="1" ht="18.75" customHeight="1">
      <c r="A24" s="432" t="s">
        <v>234</v>
      </c>
      <c r="B24" s="432"/>
      <c r="C24" s="432"/>
      <c r="D24" s="432"/>
      <c r="E24" s="432"/>
      <c r="F24" s="432"/>
      <c r="G24" s="432"/>
      <c r="H24" s="432"/>
      <c r="I24" s="432"/>
      <c r="J24" s="432"/>
      <c r="K24" s="432"/>
      <c r="L24" s="432"/>
      <c r="M24" s="432"/>
      <c r="N24" s="432"/>
      <c r="O24" s="432"/>
      <c r="P24" s="432"/>
      <c r="Q24" s="432"/>
      <c r="R24" s="432"/>
      <c r="S24" s="432"/>
      <c r="T24" s="432"/>
      <c r="U24" s="432"/>
      <c r="V24" s="432"/>
      <c r="W24" s="432"/>
      <c r="X24" s="432"/>
      <c r="Y24"/>
    </row>
    <row r="25" spans="1:35" s="2" customFormat="1" ht="18.75" customHeight="1">
      <c r="A25" s="433" t="s">
        <v>65</v>
      </c>
      <c r="B25" s="433"/>
      <c r="C25" s="433"/>
      <c r="D25" s="433"/>
      <c r="E25" s="433"/>
      <c r="F25" s="433"/>
      <c r="G25" s="433"/>
      <c r="H25" s="433"/>
      <c r="I25" s="433"/>
      <c r="J25" s="433"/>
      <c r="K25" s="433"/>
      <c r="L25" s="433"/>
      <c r="M25" s="433"/>
      <c r="N25" s="433"/>
      <c r="O25" s="433"/>
      <c r="P25" s="433"/>
      <c r="Q25" s="433"/>
      <c r="R25" s="433"/>
      <c r="S25" s="433"/>
      <c r="T25" s="433"/>
      <c r="U25" s="433"/>
      <c r="V25" s="433"/>
      <c r="W25" s="433"/>
      <c r="X25" s="433"/>
      <c r="Y25"/>
      <c r="AI25" s="3"/>
    </row>
  </sheetData>
  <mergeCells count="26">
    <mergeCell ref="C5:C6"/>
    <mergeCell ref="A21:B21"/>
    <mergeCell ref="A22:B22"/>
    <mergeCell ref="B1:S2"/>
    <mergeCell ref="T1:X4"/>
    <mergeCell ref="B3:S4"/>
    <mergeCell ref="A1:A4"/>
    <mergeCell ref="E22:F22"/>
    <mergeCell ref="H22:I22"/>
    <mergeCell ref="K22:X22"/>
    <mergeCell ref="A24:X24"/>
    <mergeCell ref="A25:X25"/>
    <mergeCell ref="D5:D6"/>
    <mergeCell ref="W5:W6"/>
    <mergeCell ref="X5:X6"/>
    <mergeCell ref="R5:R6"/>
    <mergeCell ref="E5:G5"/>
    <mergeCell ref="S5:T5"/>
    <mergeCell ref="U5:V5"/>
    <mergeCell ref="B5:B6"/>
    <mergeCell ref="A23:X23"/>
    <mergeCell ref="H5:J5"/>
    <mergeCell ref="K5:M5"/>
    <mergeCell ref="N5:P5"/>
    <mergeCell ref="Q5:Q6"/>
    <mergeCell ref="A5:A6"/>
  </mergeCells>
  <pageMargins left="0.25" right="0.25" top="0.75" bottom="0.75" header="0.3" footer="0.3"/>
  <pageSetup paperSize="5" orientation="landscape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499984740745262"/>
  </sheetPr>
  <dimension ref="A1:AI29"/>
  <sheetViews>
    <sheetView zoomScale="106" zoomScaleNormal="106" workbookViewId="0">
      <selection activeCell="B1" sqref="B1:S2"/>
    </sheetView>
  </sheetViews>
  <sheetFormatPr defaultColWidth="9.140625" defaultRowHeight="15"/>
  <cols>
    <col min="1" max="1" width="25.140625" customWidth="1"/>
    <col min="2" max="2" width="7.140625" customWidth="1"/>
    <col min="3" max="3" width="5.7109375" style="1" customWidth="1"/>
    <col min="4" max="4" width="6.140625" style="1" customWidth="1"/>
    <col min="5" max="23" width="5.7109375" style="1" customWidth="1"/>
    <col min="24" max="24" width="6.140625" style="1" customWidth="1"/>
    <col min="25" max="255" width="11.42578125" customWidth="1"/>
  </cols>
  <sheetData>
    <row r="1" spans="1:24" ht="14.25" customHeight="1">
      <c r="A1" s="489"/>
      <c r="B1" s="422" t="s">
        <v>235</v>
      </c>
      <c r="C1" s="422"/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2"/>
      <c r="S1" s="422"/>
      <c r="T1" s="411"/>
      <c r="U1" s="411"/>
      <c r="V1" s="411"/>
      <c r="W1" s="411"/>
      <c r="X1" s="411"/>
    </row>
    <row r="2" spans="1:24" ht="14.25" customHeight="1">
      <c r="A2" s="489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11"/>
      <c r="U2" s="411"/>
      <c r="V2" s="411"/>
      <c r="W2" s="411"/>
      <c r="X2" s="411"/>
    </row>
    <row r="3" spans="1:24" ht="15" customHeight="1">
      <c r="A3" s="489"/>
      <c r="B3" s="488" t="s">
        <v>236</v>
      </c>
      <c r="C3" s="488"/>
      <c r="D3" s="488"/>
      <c r="E3" s="488"/>
      <c r="F3" s="488"/>
      <c r="G3" s="488"/>
      <c r="H3" s="488"/>
      <c r="I3" s="488"/>
      <c r="J3" s="488"/>
      <c r="K3" s="488"/>
      <c r="L3" s="488"/>
      <c r="M3" s="488"/>
      <c r="N3" s="488"/>
      <c r="O3" s="488"/>
      <c r="P3" s="488"/>
      <c r="Q3" s="488"/>
      <c r="R3" s="488"/>
      <c r="S3" s="488"/>
      <c r="T3" s="411"/>
      <c r="U3" s="411"/>
      <c r="V3" s="411"/>
      <c r="W3" s="411"/>
      <c r="X3" s="411"/>
    </row>
    <row r="4" spans="1:24" ht="15.75" customHeight="1">
      <c r="A4" s="489"/>
      <c r="B4" s="488"/>
      <c r="C4" s="488"/>
      <c r="D4" s="488"/>
      <c r="E4" s="488"/>
      <c r="F4" s="488"/>
      <c r="G4" s="488"/>
      <c r="H4" s="488"/>
      <c r="I4" s="488"/>
      <c r="J4" s="488"/>
      <c r="K4" s="488"/>
      <c r="L4" s="488"/>
      <c r="M4" s="488"/>
      <c r="N4" s="488"/>
      <c r="O4" s="488"/>
      <c r="P4" s="488"/>
      <c r="Q4" s="488"/>
      <c r="R4" s="488"/>
      <c r="S4" s="488"/>
      <c r="T4" s="411"/>
      <c r="U4" s="411"/>
      <c r="V4" s="411"/>
      <c r="W4" s="411"/>
      <c r="X4" s="411"/>
    </row>
    <row r="5" spans="1:24" ht="15" customHeight="1">
      <c r="A5" s="413" t="s">
        <v>2</v>
      </c>
      <c r="B5" s="430" t="s">
        <v>3</v>
      </c>
      <c r="C5" s="415" t="s">
        <v>4</v>
      </c>
      <c r="D5" s="468" t="s">
        <v>5</v>
      </c>
      <c r="E5" s="434" t="s">
        <v>6</v>
      </c>
      <c r="F5" s="435"/>
      <c r="G5" s="427"/>
      <c r="H5" s="426" t="s">
        <v>7</v>
      </c>
      <c r="I5" s="435"/>
      <c r="J5" s="430"/>
      <c r="K5" s="434" t="s">
        <v>8</v>
      </c>
      <c r="L5" s="435"/>
      <c r="M5" s="427"/>
      <c r="N5" s="428" t="s">
        <v>9</v>
      </c>
      <c r="O5" s="439"/>
      <c r="P5" s="429"/>
      <c r="Q5" s="415" t="s">
        <v>10</v>
      </c>
      <c r="R5" s="417" t="s">
        <v>11</v>
      </c>
      <c r="S5" s="426" t="s">
        <v>12</v>
      </c>
      <c r="T5" s="427"/>
      <c r="U5" s="428" t="s">
        <v>13</v>
      </c>
      <c r="V5" s="429"/>
      <c r="W5" s="475" t="s">
        <v>14</v>
      </c>
      <c r="X5" s="468" t="s">
        <v>15</v>
      </c>
    </row>
    <row r="6" spans="1:24" ht="15" customHeight="1">
      <c r="A6" s="414"/>
      <c r="B6" s="431"/>
      <c r="C6" s="416"/>
      <c r="D6" s="438"/>
      <c r="E6" s="135" t="s">
        <v>16</v>
      </c>
      <c r="F6" s="134" t="s">
        <v>17</v>
      </c>
      <c r="G6" s="136" t="s">
        <v>18</v>
      </c>
      <c r="H6" s="133" t="s">
        <v>16</v>
      </c>
      <c r="I6" s="134" t="s">
        <v>17</v>
      </c>
      <c r="J6" s="132" t="s">
        <v>18</v>
      </c>
      <c r="K6" s="135" t="s">
        <v>16</v>
      </c>
      <c r="L6" s="134" t="s">
        <v>17</v>
      </c>
      <c r="M6" s="136" t="s">
        <v>18</v>
      </c>
      <c r="N6" s="145" t="s">
        <v>19</v>
      </c>
      <c r="O6" s="141" t="s">
        <v>20</v>
      </c>
      <c r="P6" s="146" t="s">
        <v>21</v>
      </c>
      <c r="Q6" s="416"/>
      <c r="R6" s="418"/>
      <c r="S6" s="133" t="s">
        <v>22</v>
      </c>
      <c r="T6" s="136" t="s">
        <v>23</v>
      </c>
      <c r="U6" s="145" t="s">
        <v>24</v>
      </c>
      <c r="V6" s="146" t="s">
        <v>25</v>
      </c>
      <c r="W6" s="476"/>
      <c r="X6" s="438"/>
    </row>
    <row r="7" spans="1:24" ht="18.75" customHeight="1">
      <c r="A7" s="94" t="s">
        <v>237</v>
      </c>
      <c r="B7" s="52" t="s">
        <v>33</v>
      </c>
      <c r="C7" s="57">
        <v>9</v>
      </c>
      <c r="D7" s="232">
        <v>17.399999999999999</v>
      </c>
      <c r="E7" s="30">
        <f>56/9</f>
        <v>6.2222222222222223</v>
      </c>
      <c r="F7" s="6">
        <f>88/9</f>
        <v>9.7777777777777786</v>
      </c>
      <c r="G7" s="193">
        <v>63.6</v>
      </c>
      <c r="H7" s="26">
        <f>2/9</f>
        <v>0.22222222222222221</v>
      </c>
      <c r="I7" s="6">
        <v>0.88888888888888884</v>
      </c>
      <c r="J7" s="199">
        <v>25</v>
      </c>
      <c r="K7" s="30">
        <f>39/9</f>
        <v>4.333333333333333</v>
      </c>
      <c r="L7" s="6">
        <f>64/9</f>
        <v>7.1111111111111107</v>
      </c>
      <c r="M7" s="191">
        <v>60.9</v>
      </c>
      <c r="N7" s="26">
        <v>5.8</v>
      </c>
      <c r="O7" s="7">
        <v>1.7</v>
      </c>
      <c r="P7" s="27">
        <v>7.4</v>
      </c>
      <c r="Q7" s="250">
        <v>2</v>
      </c>
      <c r="R7" s="300">
        <v>0.5</v>
      </c>
      <c r="S7" s="26">
        <v>2.9</v>
      </c>
      <c r="T7" s="103">
        <v>1.2</v>
      </c>
      <c r="U7" s="26">
        <v>2.4</v>
      </c>
      <c r="V7" s="100" t="s">
        <v>28</v>
      </c>
      <c r="W7" s="57" t="s">
        <v>238</v>
      </c>
      <c r="X7" s="234">
        <v>21.6</v>
      </c>
    </row>
    <row r="8" spans="1:24" ht="18.75" customHeight="1">
      <c r="A8" s="127" t="s">
        <v>239</v>
      </c>
      <c r="B8" s="51" t="s">
        <v>33</v>
      </c>
      <c r="C8" s="56">
        <v>21</v>
      </c>
      <c r="D8" s="235">
        <v>16</v>
      </c>
      <c r="E8" s="29">
        <f>92/21</f>
        <v>4.3809523809523814</v>
      </c>
      <c r="F8" s="12">
        <f>175/21</f>
        <v>8.3333333333333339</v>
      </c>
      <c r="G8" s="190">
        <v>52.6</v>
      </c>
      <c r="H8" s="25">
        <f>20/21</f>
        <v>0.95238095238095233</v>
      </c>
      <c r="I8" s="12">
        <f>70/21</f>
        <v>3.3333333333333335</v>
      </c>
      <c r="J8" s="200">
        <v>28.6</v>
      </c>
      <c r="K8" s="29">
        <f>91/21</f>
        <v>4.333333333333333</v>
      </c>
      <c r="L8" s="12">
        <f>117/21</f>
        <v>5.5714285714285712</v>
      </c>
      <c r="M8" s="192">
        <v>77.8</v>
      </c>
      <c r="N8" s="47">
        <v>3.9</v>
      </c>
      <c r="O8" s="12">
        <v>1.9</v>
      </c>
      <c r="P8" s="33">
        <v>5.7</v>
      </c>
      <c r="Q8" s="249">
        <v>2</v>
      </c>
      <c r="R8" s="301">
        <v>0.7</v>
      </c>
      <c r="S8" s="47">
        <v>1.9</v>
      </c>
      <c r="T8" s="22">
        <v>0.6</v>
      </c>
      <c r="U8" s="25">
        <v>2.8</v>
      </c>
      <c r="V8" s="99" t="s">
        <v>28</v>
      </c>
      <c r="W8" s="56">
        <v>25.8</v>
      </c>
      <c r="X8" s="235">
        <v>18</v>
      </c>
    </row>
    <row r="9" spans="1:24" ht="18.75" customHeight="1">
      <c r="A9" s="94" t="s">
        <v>240</v>
      </c>
      <c r="B9" s="52" t="s">
        <v>33</v>
      </c>
      <c r="C9" s="57">
        <v>16</v>
      </c>
      <c r="D9" s="234">
        <v>16.899999999999999</v>
      </c>
      <c r="E9" s="30">
        <f>68/16</f>
        <v>4.25</v>
      </c>
      <c r="F9" s="6">
        <f>117/16</f>
        <v>7.3125</v>
      </c>
      <c r="G9" s="191">
        <v>58.1</v>
      </c>
      <c r="H9" s="26">
        <f>27/16</f>
        <v>1.6875</v>
      </c>
      <c r="I9" s="6">
        <f>73/16</f>
        <v>4.5625</v>
      </c>
      <c r="J9" s="199">
        <v>37</v>
      </c>
      <c r="K9" s="30">
        <f>54/16</f>
        <v>3.375</v>
      </c>
      <c r="L9" s="6">
        <f>75/16</f>
        <v>4.6875</v>
      </c>
      <c r="M9" s="193">
        <v>72</v>
      </c>
      <c r="N9" s="49">
        <v>4.5</v>
      </c>
      <c r="O9" s="7">
        <v>1.1000000000000001</v>
      </c>
      <c r="P9" s="27">
        <v>5.6</v>
      </c>
      <c r="Q9" s="57">
        <v>1.4</v>
      </c>
      <c r="R9" s="300">
        <v>0.2</v>
      </c>
      <c r="S9" s="49">
        <v>1.9</v>
      </c>
      <c r="T9" s="103">
        <v>1.2</v>
      </c>
      <c r="U9" s="49">
        <v>1.6</v>
      </c>
      <c r="V9" s="100" t="s">
        <v>28</v>
      </c>
      <c r="W9" s="57">
        <v>30.3</v>
      </c>
      <c r="X9" s="234">
        <v>17.7</v>
      </c>
    </row>
    <row r="10" spans="1:24" ht="18.75" customHeight="1">
      <c r="A10" s="127" t="s">
        <v>241</v>
      </c>
      <c r="B10" s="51" t="s">
        <v>33</v>
      </c>
      <c r="C10" s="56">
        <v>11</v>
      </c>
      <c r="D10" s="235">
        <v>12.2</v>
      </c>
      <c r="E10" s="29">
        <f>22/11</f>
        <v>2</v>
      </c>
      <c r="F10" s="12">
        <f>55/11</f>
        <v>5</v>
      </c>
      <c r="G10" s="192">
        <v>40</v>
      </c>
      <c r="H10" s="25">
        <f>25/11</f>
        <v>2.2727272727272729</v>
      </c>
      <c r="I10" s="12">
        <f>61/11</f>
        <v>5.5454545454545459</v>
      </c>
      <c r="J10" s="200">
        <v>41</v>
      </c>
      <c r="K10" s="29">
        <f>15/11</f>
        <v>1.3636363636363635</v>
      </c>
      <c r="L10" s="12">
        <f>22/11</f>
        <v>2</v>
      </c>
      <c r="M10" s="190">
        <v>68.2</v>
      </c>
      <c r="N10" s="25">
        <v>3.2</v>
      </c>
      <c r="O10" s="11">
        <v>0.5</v>
      </c>
      <c r="P10" s="33">
        <v>3.6</v>
      </c>
      <c r="Q10" s="56">
        <v>5.0999999999999996</v>
      </c>
      <c r="R10" s="301">
        <v>0</v>
      </c>
      <c r="S10" s="25">
        <v>2</v>
      </c>
      <c r="T10" s="22">
        <v>0.7</v>
      </c>
      <c r="U10" s="47">
        <v>1.6</v>
      </c>
      <c r="V10" s="99" t="s">
        <v>28</v>
      </c>
      <c r="W10" s="56" t="s">
        <v>242</v>
      </c>
      <c r="X10" s="235">
        <v>13</v>
      </c>
    </row>
    <row r="11" spans="1:24" ht="18.75" customHeight="1">
      <c r="A11" s="94" t="s">
        <v>243</v>
      </c>
      <c r="B11" s="52" t="s">
        <v>33</v>
      </c>
      <c r="C11" s="57">
        <v>18</v>
      </c>
      <c r="D11" s="232">
        <v>6.6</v>
      </c>
      <c r="E11" s="30">
        <f>49/18</f>
        <v>2.7222222222222223</v>
      </c>
      <c r="F11" s="6">
        <f>86/18</f>
        <v>4.7777777777777777</v>
      </c>
      <c r="G11" s="193">
        <v>57</v>
      </c>
      <c r="H11" s="32">
        <f>2/18</f>
        <v>0.1111111111111111</v>
      </c>
      <c r="I11" s="6">
        <f>14/18</f>
        <v>0.77777777777777779</v>
      </c>
      <c r="J11" s="199">
        <v>14.3</v>
      </c>
      <c r="K11" s="30">
        <f>15/18</f>
        <v>0.83333333333333337</v>
      </c>
      <c r="L11" s="6">
        <f>29/18</f>
        <v>1.6111111111111112</v>
      </c>
      <c r="M11" s="191">
        <v>51.7</v>
      </c>
      <c r="N11" s="49">
        <v>4.2</v>
      </c>
      <c r="O11" s="6">
        <v>1.8</v>
      </c>
      <c r="P11" s="27">
        <v>6.1</v>
      </c>
      <c r="Q11" s="57">
        <v>2.2000000000000002</v>
      </c>
      <c r="R11" s="300">
        <v>0.3</v>
      </c>
      <c r="S11" s="26">
        <v>1.6</v>
      </c>
      <c r="T11" s="23">
        <v>0.4</v>
      </c>
      <c r="U11" s="49">
        <v>1.4</v>
      </c>
      <c r="V11" s="100" t="s">
        <v>28</v>
      </c>
      <c r="W11" s="57">
        <v>21.6</v>
      </c>
      <c r="X11" s="232">
        <v>10.1</v>
      </c>
    </row>
    <row r="12" spans="1:24" ht="18.75" customHeight="1">
      <c r="A12" s="127" t="s">
        <v>244</v>
      </c>
      <c r="B12" s="51" t="s">
        <v>59</v>
      </c>
      <c r="C12" s="56">
        <v>23</v>
      </c>
      <c r="D12" s="235">
        <v>9.6999999999999993</v>
      </c>
      <c r="E12" s="29">
        <f>52/23</f>
        <v>2.2608695652173911</v>
      </c>
      <c r="F12" s="12">
        <f>109/23</f>
        <v>4.7391304347826084</v>
      </c>
      <c r="G12" s="190">
        <v>47.7</v>
      </c>
      <c r="H12" s="25">
        <f>28/23</f>
        <v>1.2173913043478262</v>
      </c>
      <c r="I12" s="12">
        <f>85/23</f>
        <v>3.6956521739130435</v>
      </c>
      <c r="J12" s="200">
        <v>32.9</v>
      </c>
      <c r="K12" s="29">
        <f>35/23</f>
        <v>1.5217391304347827</v>
      </c>
      <c r="L12" s="12">
        <f>52/23</f>
        <v>2.2608695652173911</v>
      </c>
      <c r="M12" s="192">
        <v>67.3</v>
      </c>
      <c r="N12" s="47">
        <v>3.8</v>
      </c>
      <c r="O12" s="11">
        <v>0.9</v>
      </c>
      <c r="P12" s="33">
        <v>4.7</v>
      </c>
      <c r="Q12" s="56">
        <v>1.3</v>
      </c>
      <c r="R12" s="301">
        <v>0.4</v>
      </c>
      <c r="S12" s="47">
        <v>2.1</v>
      </c>
      <c r="T12" s="22">
        <v>1.2</v>
      </c>
      <c r="U12" s="47">
        <v>1.3</v>
      </c>
      <c r="V12" s="99" t="s">
        <v>28</v>
      </c>
      <c r="W12" s="56" t="s">
        <v>245</v>
      </c>
      <c r="X12" s="233">
        <v>9.9</v>
      </c>
    </row>
    <row r="13" spans="1:24" ht="18.75" customHeight="1">
      <c r="A13" s="94" t="s">
        <v>246</v>
      </c>
      <c r="B13" s="52" t="s">
        <v>27</v>
      </c>
      <c r="C13" s="57">
        <v>8</v>
      </c>
      <c r="D13" s="232">
        <v>13.5</v>
      </c>
      <c r="E13" s="30">
        <f>4/8</f>
        <v>0.5</v>
      </c>
      <c r="F13" s="6">
        <f>6/8</f>
        <v>0.75</v>
      </c>
      <c r="G13" s="191">
        <v>66.7</v>
      </c>
      <c r="H13" s="32">
        <v>0</v>
      </c>
      <c r="I13" s="6">
        <f>2/8</f>
        <v>0.25</v>
      </c>
      <c r="J13" s="297">
        <v>0</v>
      </c>
      <c r="K13" s="30">
        <v>0.5</v>
      </c>
      <c r="L13" s="6">
        <v>0.5</v>
      </c>
      <c r="M13" s="298">
        <v>100</v>
      </c>
      <c r="N13" s="49">
        <v>1.4</v>
      </c>
      <c r="O13" s="7">
        <v>0.4</v>
      </c>
      <c r="P13" s="27">
        <v>1.8</v>
      </c>
      <c r="Q13" s="250">
        <v>0.4</v>
      </c>
      <c r="R13" s="300">
        <v>0.3</v>
      </c>
      <c r="S13" s="49">
        <v>0.9</v>
      </c>
      <c r="T13" s="23">
        <v>0.3</v>
      </c>
      <c r="U13" s="49">
        <v>1.5</v>
      </c>
      <c r="V13" s="100" t="s">
        <v>28</v>
      </c>
      <c r="W13" s="57" t="s">
        <v>247</v>
      </c>
      <c r="X13" s="234">
        <v>9.1999999999999993</v>
      </c>
    </row>
    <row r="14" spans="1:24" ht="18.75" customHeight="1">
      <c r="A14" s="127" t="s">
        <v>248</v>
      </c>
      <c r="B14" s="51" t="s">
        <v>33</v>
      </c>
      <c r="C14" s="56">
        <v>13</v>
      </c>
      <c r="D14" s="235">
        <v>13.5</v>
      </c>
      <c r="E14" s="29">
        <f>22/13</f>
        <v>1.6923076923076923</v>
      </c>
      <c r="F14" s="12">
        <f>64/13</f>
        <v>4.9230769230769234</v>
      </c>
      <c r="G14" s="192">
        <v>34.4</v>
      </c>
      <c r="H14" s="25">
        <f>33/13</f>
        <v>2.5384615384615383</v>
      </c>
      <c r="I14" s="12">
        <f>106/13</f>
        <v>8.1538461538461533</v>
      </c>
      <c r="J14" s="200">
        <v>31.1</v>
      </c>
      <c r="K14" s="29">
        <f>33/13</f>
        <v>2.5384615384615383</v>
      </c>
      <c r="L14" s="12">
        <f>36/13</f>
        <v>2.7692307692307692</v>
      </c>
      <c r="M14" s="192">
        <v>91.7</v>
      </c>
      <c r="N14" s="25">
        <v>1.9</v>
      </c>
      <c r="O14" s="11">
        <v>0.9</v>
      </c>
      <c r="P14" s="33">
        <v>2.8</v>
      </c>
      <c r="Q14" s="249">
        <v>3</v>
      </c>
      <c r="R14" s="301">
        <v>0.1</v>
      </c>
      <c r="S14" s="25">
        <v>1.8</v>
      </c>
      <c r="T14" s="22">
        <v>0.4</v>
      </c>
      <c r="U14" s="25">
        <v>1.9</v>
      </c>
      <c r="V14" s="99" t="s">
        <v>28</v>
      </c>
      <c r="W14" s="56" t="s">
        <v>113</v>
      </c>
      <c r="X14" s="235">
        <v>9.1999999999999993</v>
      </c>
    </row>
    <row r="15" spans="1:24" ht="18.75" customHeight="1">
      <c r="A15" s="94" t="s">
        <v>249</v>
      </c>
      <c r="B15" s="52" t="s">
        <v>27</v>
      </c>
      <c r="C15" s="57">
        <v>16</v>
      </c>
      <c r="D15" s="234">
        <v>6.4</v>
      </c>
      <c r="E15" s="30">
        <f>21/16</f>
        <v>1.3125</v>
      </c>
      <c r="F15" s="6">
        <f>39/16</f>
        <v>2.4375</v>
      </c>
      <c r="G15" s="193">
        <v>53.8</v>
      </c>
      <c r="H15" s="26">
        <f>14/16</f>
        <v>0.875</v>
      </c>
      <c r="I15" s="6">
        <f>52/16</f>
        <v>3.25</v>
      </c>
      <c r="J15" s="199">
        <v>26.9</v>
      </c>
      <c r="K15" s="30">
        <f>18/16</f>
        <v>1.125</v>
      </c>
      <c r="L15" s="6">
        <f>22/18</f>
        <v>1.2222222222222223</v>
      </c>
      <c r="M15" s="193">
        <v>81.8</v>
      </c>
      <c r="N15" s="49">
        <v>1.7</v>
      </c>
      <c r="O15" s="6">
        <v>0.3</v>
      </c>
      <c r="P15" s="27">
        <v>2</v>
      </c>
      <c r="Q15" s="57">
        <v>2.2999999999999998</v>
      </c>
      <c r="R15" s="300">
        <v>0.6</v>
      </c>
      <c r="S15" s="49">
        <v>1.1000000000000001</v>
      </c>
      <c r="T15" s="23">
        <v>0.8</v>
      </c>
      <c r="U15" s="49">
        <v>1.7</v>
      </c>
      <c r="V15" s="100" t="s">
        <v>28</v>
      </c>
      <c r="W15" s="57">
        <v>19.3</v>
      </c>
      <c r="X15" s="234">
        <v>7.2</v>
      </c>
    </row>
    <row r="16" spans="1:24" ht="18.75" customHeight="1">
      <c r="A16" s="127" t="s">
        <v>250</v>
      </c>
      <c r="B16" s="51" t="s">
        <v>27</v>
      </c>
      <c r="C16" s="56">
        <v>16</v>
      </c>
      <c r="D16" s="233">
        <v>6.4</v>
      </c>
      <c r="E16" s="29">
        <f>11/16</f>
        <v>0.6875</v>
      </c>
      <c r="F16" s="12">
        <f>23/16</f>
        <v>1.4375</v>
      </c>
      <c r="G16" s="190">
        <v>47.8</v>
      </c>
      <c r="H16" s="25">
        <f>22/16</f>
        <v>1.375</v>
      </c>
      <c r="I16" s="12">
        <f>51/16</f>
        <v>3.1875</v>
      </c>
      <c r="J16" s="200">
        <v>43.1</v>
      </c>
      <c r="K16" s="29">
        <f>15/16</f>
        <v>0.9375</v>
      </c>
      <c r="L16" s="12">
        <f>20/16</f>
        <v>1.25</v>
      </c>
      <c r="M16" s="192">
        <v>75</v>
      </c>
      <c r="N16" s="25">
        <v>1.7</v>
      </c>
      <c r="O16" s="11">
        <v>0.4</v>
      </c>
      <c r="P16" s="33">
        <v>2.1</v>
      </c>
      <c r="Q16" s="56">
        <v>1.4</v>
      </c>
      <c r="R16" s="302">
        <v>0</v>
      </c>
      <c r="S16" s="47">
        <v>1.1000000000000001</v>
      </c>
      <c r="T16" s="22">
        <v>1.8</v>
      </c>
      <c r="U16" s="47">
        <v>2.5</v>
      </c>
      <c r="V16" s="99" t="s">
        <v>28</v>
      </c>
      <c r="W16" s="56">
        <v>21.5</v>
      </c>
      <c r="X16" s="233">
        <v>6.4</v>
      </c>
    </row>
    <row r="17" spans="1:35" ht="18.75" customHeight="1">
      <c r="A17" s="94" t="s">
        <v>251</v>
      </c>
      <c r="B17" s="52" t="s">
        <v>27</v>
      </c>
      <c r="C17" s="57">
        <v>28</v>
      </c>
      <c r="D17" s="234">
        <v>4.3</v>
      </c>
      <c r="E17" s="30">
        <f>49/28</f>
        <v>1.75</v>
      </c>
      <c r="F17" s="6">
        <f>111/28</f>
        <v>3.9642857142857144</v>
      </c>
      <c r="G17" s="191">
        <v>44.1</v>
      </c>
      <c r="H17" s="32">
        <v>0</v>
      </c>
      <c r="I17" s="6">
        <f>3/28</f>
        <v>0.10714285714285714</v>
      </c>
      <c r="J17" s="297">
        <v>0</v>
      </c>
      <c r="K17" s="30">
        <f>23/28</f>
        <v>0.8214285714285714</v>
      </c>
      <c r="L17" s="6">
        <f>40/28</f>
        <v>1.4285714285714286</v>
      </c>
      <c r="M17" s="191">
        <v>57.5</v>
      </c>
      <c r="N17" s="49">
        <v>2.5</v>
      </c>
      <c r="O17" s="6">
        <v>2</v>
      </c>
      <c r="P17" s="27">
        <v>4.4000000000000004</v>
      </c>
      <c r="Q17" s="57">
        <v>0.5</v>
      </c>
      <c r="R17" s="300">
        <v>0.5</v>
      </c>
      <c r="S17" s="49">
        <v>0.6</v>
      </c>
      <c r="T17" s="23">
        <v>0.6</v>
      </c>
      <c r="U17" s="49">
        <v>1.3</v>
      </c>
      <c r="V17" s="100" t="s">
        <v>28</v>
      </c>
      <c r="W17" s="57" t="s">
        <v>252</v>
      </c>
      <c r="X17" s="234">
        <v>6.4</v>
      </c>
    </row>
    <row r="18" spans="1:35" ht="18.75" customHeight="1">
      <c r="A18" s="127" t="s">
        <v>253</v>
      </c>
      <c r="B18" s="51" t="s">
        <v>33</v>
      </c>
      <c r="C18" s="56">
        <v>7</v>
      </c>
      <c r="D18" s="235">
        <v>10</v>
      </c>
      <c r="E18" s="29">
        <f>15/7</f>
        <v>2.1428571428571428</v>
      </c>
      <c r="F18" s="12">
        <f>26/7</f>
        <v>3.7142857142857144</v>
      </c>
      <c r="G18" s="192">
        <v>57.7</v>
      </c>
      <c r="H18" s="25">
        <f>10/7</f>
        <v>1.4285714285714286</v>
      </c>
      <c r="I18" s="12">
        <f>30/7</f>
        <v>4.2857142857142856</v>
      </c>
      <c r="J18" s="200">
        <v>33.299999999999997</v>
      </c>
      <c r="K18" s="29">
        <f>10/7</f>
        <v>1.4285714285714286</v>
      </c>
      <c r="L18" s="12">
        <f>12/7</f>
        <v>1.7142857142857142</v>
      </c>
      <c r="M18" s="192">
        <v>83.3</v>
      </c>
      <c r="N18" s="47">
        <v>1.9</v>
      </c>
      <c r="O18" s="11">
        <v>0.4</v>
      </c>
      <c r="P18" s="33">
        <v>2.2999999999999998</v>
      </c>
      <c r="Q18" s="56">
        <v>0.7</v>
      </c>
      <c r="R18" s="301">
        <v>0</v>
      </c>
      <c r="S18" s="47">
        <v>1.7</v>
      </c>
      <c r="T18" s="22">
        <v>0.4</v>
      </c>
      <c r="U18" s="47">
        <v>2.1</v>
      </c>
      <c r="V18" s="99" t="s">
        <v>28</v>
      </c>
      <c r="W18" s="56" t="s">
        <v>254</v>
      </c>
      <c r="X18" s="235">
        <v>6</v>
      </c>
    </row>
    <row r="19" spans="1:35" ht="18.75" customHeight="1">
      <c r="A19" s="94" t="s">
        <v>255</v>
      </c>
      <c r="B19" s="52" t="s">
        <v>27</v>
      </c>
      <c r="C19" s="57">
        <v>28</v>
      </c>
      <c r="D19" s="234">
        <v>4.0999999999999996</v>
      </c>
      <c r="E19" s="30">
        <f>30/28</f>
        <v>1.0714285714285714</v>
      </c>
      <c r="F19" s="6">
        <f>64/28</f>
        <v>2.2857142857142856</v>
      </c>
      <c r="G19" s="193">
        <v>46.9</v>
      </c>
      <c r="H19" s="26">
        <f>11/28</f>
        <v>0.39285714285714285</v>
      </c>
      <c r="I19" s="6">
        <f>42/28</f>
        <v>1.5</v>
      </c>
      <c r="J19" s="199">
        <v>26.2</v>
      </c>
      <c r="K19" s="30">
        <f>22/28</f>
        <v>0.7857142857142857</v>
      </c>
      <c r="L19" s="6">
        <f>33/28</f>
        <v>1.1785714285714286</v>
      </c>
      <c r="M19" s="193">
        <v>66.7</v>
      </c>
      <c r="N19" s="26">
        <v>2.1</v>
      </c>
      <c r="O19" s="7">
        <v>0.9</v>
      </c>
      <c r="P19" s="27">
        <v>3</v>
      </c>
      <c r="Q19" s="57">
        <v>1.6</v>
      </c>
      <c r="R19" s="300">
        <v>0.1</v>
      </c>
      <c r="S19" s="49">
        <v>1.3</v>
      </c>
      <c r="T19" s="23">
        <v>1.1000000000000001</v>
      </c>
      <c r="U19" s="26">
        <v>2.5</v>
      </c>
      <c r="V19" s="100" t="s">
        <v>28</v>
      </c>
      <c r="W19" s="57" t="s">
        <v>256</v>
      </c>
      <c r="X19" s="234">
        <v>4.2</v>
      </c>
    </row>
    <row r="20" spans="1:35" ht="18.75" customHeight="1">
      <c r="A20" s="127" t="s">
        <v>257</v>
      </c>
      <c r="B20" s="51" t="s">
        <v>59</v>
      </c>
      <c r="C20" s="56">
        <v>24</v>
      </c>
      <c r="D20" s="233">
        <v>3.6</v>
      </c>
      <c r="E20" s="29">
        <f>25/24</f>
        <v>1.0416666666666667</v>
      </c>
      <c r="F20" s="12">
        <f>38/24</f>
        <v>1.5833333333333333</v>
      </c>
      <c r="G20" s="192">
        <v>65.8</v>
      </c>
      <c r="H20" s="25">
        <f>9/24</f>
        <v>0.375</v>
      </c>
      <c r="I20" s="12">
        <v>1</v>
      </c>
      <c r="J20" s="200">
        <v>37.5</v>
      </c>
      <c r="K20" s="29">
        <f>10/24</f>
        <v>0.41666666666666669</v>
      </c>
      <c r="L20" s="12">
        <f>16/24</f>
        <v>0.66666666666666663</v>
      </c>
      <c r="M20" s="192">
        <v>62.5</v>
      </c>
      <c r="N20" s="47">
        <v>1.3</v>
      </c>
      <c r="O20" s="11">
        <v>0.4</v>
      </c>
      <c r="P20" s="33">
        <v>1.7</v>
      </c>
      <c r="Q20" s="56">
        <v>0.3</v>
      </c>
      <c r="R20" s="301">
        <v>0.1</v>
      </c>
      <c r="S20" s="25">
        <v>0.5</v>
      </c>
      <c r="T20" s="22">
        <v>0.3</v>
      </c>
      <c r="U20" s="47">
        <v>1.8</v>
      </c>
      <c r="V20" s="99" t="s">
        <v>28</v>
      </c>
      <c r="W20" s="56" t="s">
        <v>193</v>
      </c>
      <c r="X20" s="235">
        <v>3</v>
      </c>
    </row>
    <row r="21" spans="1:35" ht="18.75" customHeight="1">
      <c r="A21" s="94" t="s">
        <v>258</v>
      </c>
      <c r="B21" s="52" t="s">
        <v>33</v>
      </c>
      <c r="C21" s="57">
        <v>3</v>
      </c>
      <c r="D21" s="232">
        <v>3.7</v>
      </c>
      <c r="E21" s="282">
        <f>5/3</f>
        <v>1.6666666666666667</v>
      </c>
      <c r="F21" s="6">
        <f>11/3</f>
        <v>3.6666666666666665</v>
      </c>
      <c r="G21" s="193">
        <v>45.5</v>
      </c>
      <c r="H21" s="32">
        <v>0</v>
      </c>
      <c r="I21" s="6">
        <f>1/3</f>
        <v>0.33333333333333331</v>
      </c>
      <c r="J21" s="297">
        <v>0</v>
      </c>
      <c r="K21" s="30">
        <f>1/3</f>
        <v>0.33333333333333331</v>
      </c>
      <c r="L21" s="6">
        <v>0.3</v>
      </c>
      <c r="M21" s="298">
        <v>100</v>
      </c>
      <c r="N21" s="26">
        <v>2</v>
      </c>
      <c r="O21" s="7">
        <v>1.7</v>
      </c>
      <c r="P21" s="27">
        <v>3.7</v>
      </c>
      <c r="Q21" s="57">
        <v>0.7</v>
      </c>
      <c r="R21" s="300">
        <v>0</v>
      </c>
      <c r="S21" s="26">
        <v>1</v>
      </c>
      <c r="T21" s="103">
        <v>0.7</v>
      </c>
      <c r="U21" s="26">
        <v>2</v>
      </c>
      <c r="V21" s="100" t="s">
        <v>28</v>
      </c>
      <c r="W21" s="57" t="s">
        <v>259</v>
      </c>
      <c r="X21" s="232">
        <v>3</v>
      </c>
    </row>
    <row r="22" spans="1:35" ht="18.75" customHeight="1">
      <c r="A22" s="127" t="s">
        <v>260</v>
      </c>
      <c r="B22" s="51" t="s">
        <v>27</v>
      </c>
      <c r="C22" s="56">
        <v>24</v>
      </c>
      <c r="D22" s="235">
        <v>2.2000000000000002</v>
      </c>
      <c r="E22" s="29">
        <f>11/24</f>
        <v>0.45833333333333331</v>
      </c>
      <c r="F22" s="12">
        <f>27/24</f>
        <v>1.125</v>
      </c>
      <c r="G22" s="190">
        <v>40.700000000000003</v>
      </c>
      <c r="H22" s="25">
        <f>8/24</f>
        <v>0.33333333333333331</v>
      </c>
      <c r="I22" s="12">
        <f>36/24</f>
        <v>1.5</v>
      </c>
      <c r="J22" s="200">
        <v>22.2</v>
      </c>
      <c r="K22" s="29">
        <f>6/24</f>
        <v>0.25</v>
      </c>
      <c r="L22" s="12">
        <f>12/24</f>
        <v>0.5</v>
      </c>
      <c r="M22" s="192">
        <v>50</v>
      </c>
      <c r="N22" s="47">
        <v>0.8</v>
      </c>
      <c r="O22" s="11">
        <v>0.4</v>
      </c>
      <c r="P22" s="33">
        <v>1.3</v>
      </c>
      <c r="Q22" s="249">
        <v>1.3</v>
      </c>
      <c r="R22" s="301">
        <v>0</v>
      </c>
      <c r="S22" s="47">
        <v>0.6</v>
      </c>
      <c r="T22" s="22">
        <v>0.6</v>
      </c>
      <c r="U22" s="25">
        <v>1</v>
      </c>
      <c r="V22" s="99" t="s">
        <v>28</v>
      </c>
      <c r="W22" s="56" t="s">
        <v>261</v>
      </c>
      <c r="X22" s="233">
        <v>2.2000000000000002</v>
      </c>
    </row>
    <row r="23" spans="1:35" ht="18.75" customHeight="1">
      <c r="A23" s="94" t="s">
        <v>262</v>
      </c>
      <c r="B23" s="52" t="s">
        <v>27</v>
      </c>
      <c r="C23" s="57">
        <v>24</v>
      </c>
      <c r="D23" s="234">
        <v>4.4000000000000004</v>
      </c>
      <c r="E23" s="30">
        <f>35/24</f>
        <v>1.4583333333333333</v>
      </c>
      <c r="F23" s="6">
        <f>75/24</f>
        <v>3.125</v>
      </c>
      <c r="G23" s="193">
        <v>46.7</v>
      </c>
      <c r="H23" s="26">
        <f>10/24</f>
        <v>0.41666666666666669</v>
      </c>
      <c r="I23" s="6">
        <f>23/24</f>
        <v>0.95833333333333337</v>
      </c>
      <c r="J23" s="199">
        <v>43.5</v>
      </c>
      <c r="K23" s="30">
        <f>5/24</f>
        <v>0.20833333333333334</v>
      </c>
      <c r="L23" s="6">
        <f>8/24</f>
        <v>0.33333333333333331</v>
      </c>
      <c r="M23" s="193">
        <v>62.5</v>
      </c>
      <c r="N23" s="49">
        <v>1.2</v>
      </c>
      <c r="O23" s="7">
        <v>0.3</v>
      </c>
      <c r="P23" s="27">
        <v>1.5</v>
      </c>
      <c r="Q23" s="57">
        <v>0.5</v>
      </c>
      <c r="R23" s="303">
        <v>0.2</v>
      </c>
      <c r="S23" s="26">
        <v>0.7</v>
      </c>
      <c r="T23" s="23">
        <v>0.2</v>
      </c>
      <c r="U23" s="49">
        <v>2.5</v>
      </c>
      <c r="V23" s="100" t="s">
        <v>28</v>
      </c>
      <c r="W23" s="57" t="s">
        <v>263</v>
      </c>
      <c r="X23" s="232">
        <v>1.3</v>
      </c>
    </row>
    <row r="24" spans="1:35" ht="18.75" customHeight="1">
      <c r="A24" s="128" t="s">
        <v>264</v>
      </c>
      <c r="B24" s="75" t="s">
        <v>27</v>
      </c>
      <c r="C24" s="73">
        <v>14</v>
      </c>
      <c r="D24" s="304">
        <v>3</v>
      </c>
      <c r="E24" s="241">
        <f>8/14</f>
        <v>0.5714285714285714</v>
      </c>
      <c r="F24" s="69">
        <f>26/14</f>
        <v>1.8571428571428572</v>
      </c>
      <c r="G24" s="305">
        <v>30.8</v>
      </c>
      <c r="H24" s="68">
        <f>6/14</f>
        <v>0.42857142857142855</v>
      </c>
      <c r="I24" s="69">
        <f>15/14</f>
        <v>1.0714285714285714</v>
      </c>
      <c r="J24" s="306">
        <v>40</v>
      </c>
      <c r="K24" s="241">
        <f>8/14</f>
        <v>0.5714285714285714</v>
      </c>
      <c r="L24" s="69">
        <f>13/14</f>
        <v>0.9285714285714286</v>
      </c>
      <c r="M24" s="307">
        <v>61.5</v>
      </c>
      <c r="N24" s="68">
        <v>0.5</v>
      </c>
      <c r="O24" s="69">
        <v>0.1</v>
      </c>
      <c r="P24" s="242">
        <v>0.6</v>
      </c>
      <c r="Q24" s="73">
        <v>0.9</v>
      </c>
      <c r="R24" s="308">
        <v>0.2</v>
      </c>
      <c r="S24" s="74">
        <v>1.1000000000000001</v>
      </c>
      <c r="T24" s="66">
        <v>1.2</v>
      </c>
      <c r="U24" s="68">
        <v>1.6</v>
      </c>
      <c r="V24" s="243" t="s">
        <v>28</v>
      </c>
      <c r="W24" s="73" t="s">
        <v>265</v>
      </c>
      <c r="X24" s="240">
        <v>0.4</v>
      </c>
    </row>
    <row r="25" spans="1:35" s="2" customFormat="1" ht="18.75" customHeight="1">
      <c r="A25" s="448" t="s">
        <v>266</v>
      </c>
      <c r="B25" s="449"/>
      <c r="C25" s="88">
        <v>31</v>
      </c>
      <c r="D25" s="244">
        <v>73</v>
      </c>
      <c r="E25" s="230">
        <v>18.899999999999999</v>
      </c>
      <c r="F25" s="81">
        <v>37.5</v>
      </c>
      <c r="G25" s="82">
        <v>50.5</v>
      </c>
      <c r="H25" s="80">
        <v>7.4</v>
      </c>
      <c r="I25" s="81">
        <v>22.7</v>
      </c>
      <c r="J25" s="83">
        <v>32.6</v>
      </c>
      <c r="K25" s="230">
        <v>13</v>
      </c>
      <c r="L25" s="81">
        <v>18.600000000000001</v>
      </c>
      <c r="M25" s="82">
        <v>69.900000000000006</v>
      </c>
      <c r="N25" s="89">
        <v>23.7</v>
      </c>
      <c r="O25" s="81">
        <v>9</v>
      </c>
      <c r="P25" s="245">
        <v>32.700000000000003</v>
      </c>
      <c r="Q25" s="246">
        <v>14.2</v>
      </c>
      <c r="R25" s="123">
        <v>2.7</v>
      </c>
      <c r="S25" s="89">
        <v>12.6</v>
      </c>
      <c r="T25" s="122">
        <v>7.4</v>
      </c>
      <c r="U25" s="89">
        <v>18.8</v>
      </c>
      <c r="V25" s="270"/>
      <c r="W25" s="125"/>
      <c r="X25" s="126">
        <v>73.3</v>
      </c>
      <c r="Y25"/>
      <c r="Z25"/>
    </row>
    <row r="26" spans="1:35" s="2" customFormat="1" ht="18.75" customHeight="1">
      <c r="A26" s="440" t="s">
        <v>62</v>
      </c>
      <c r="B26" s="483"/>
      <c r="C26" s="180">
        <v>31</v>
      </c>
      <c r="D26" s="292">
        <v>71.5</v>
      </c>
      <c r="E26" s="447"/>
      <c r="F26" s="447"/>
      <c r="G26" s="180">
        <v>52.1</v>
      </c>
      <c r="H26" s="443"/>
      <c r="I26" s="443"/>
      <c r="J26" s="180">
        <v>29.7</v>
      </c>
      <c r="K26" s="443"/>
      <c r="L26" s="443"/>
      <c r="M26" s="443"/>
      <c r="N26" s="443"/>
      <c r="O26" s="443"/>
      <c r="P26" s="443"/>
      <c r="Q26" s="443"/>
      <c r="R26" s="443"/>
      <c r="S26" s="443"/>
      <c r="T26" s="443"/>
      <c r="U26" s="443"/>
      <c r="V26" s="443"/>
      <c r="W26" s="443"/>
      <c r="X26" s="444"/>
      <c r="Y26"/>
      <c r="Z26"/>
    </row>
    <row r="27" spans="1:35" s="2" customFormat="1" ht="18.75" customHeight="1">
      <c r="A27" s="487" t="s">
        <v>267</v>
      </c>
      <c r="B27" s="437"/>
      <c r="C27" s="437"/>
      <c r="D27" s="437"/>
      <c r="E27" s="437"/>
      <c r="F27" s="437"/>
      <c r="G27" s="437"/>
      <c r="H27" s="437"/>
      <c r="I27" s="437"/>
      <c r="J27" s="437"/>
      <c r="K27" s="437"/>
      <c r="L27" s="437"/>
      <c r="M27" s="437"/>
      <c r="N27" s="437"/>
      <c r="O27" s="437"/>
      <c r="P27" s="437"/>
      <c r="Q27" s="437"/>
      <c r="R27" s="437"/>
      <c r="S27" s="437"/>
      <c r="T27" s="437"/>
      <c r="U27" s="437"/>
      <c r="V27" s="437"/>
      <c r="W27" s="437"/>
      <c r="X27" s="437"/>
      <c r="Y27"/>
      <c r="Z27"/>
    </row>
    <row r="28" spans="1:35" s="2" customFormat="1" ht="18.75" customHeight="1">
      <c r="A28" s="432" t="s">
        <v>268</v>
      </c>
      <c r="B28" s="432"/>
      <c r="C28" s="432"/>
      <c r="D28" s="432"/>
      <c r="E28" s="432"/>
      <c r="F28" s="432"/>
      <c r="G28" s="432"/>
      <c r="H28" s="432"/>
      <c r="I28" s="432"/>
      <c r="J28" s="432"/>
      <c r="K28" s="432"/>
      <c r="L28" s="432"/>
      <c r="M28" s="432"/>
      <c r="N28" s="432"/>
      <c r="O28" s="432"/>
      <c r="P28" s="432"/>
      <c r="Q28" s="432"/>
      <c r="R28" s="432"/>
      <c r="S28" s="432"/>
      <c r="T28" s="432"/>
      <c r="U28" s="432"/>
      <c r="V28" s="432"/>
      <c r="W28" s="432"/>
      <c r="X28" s="432"/>
      <c r="Y28"/>
    </row>
    <row r="29" spans="1:35" s="2" customFormat="1" ht="18.75" customHeight="1">
      <c r="A29" s="433" t="s">
        <v>65</v>
      </c>
      <c r="B29" s="433"/>
      <c r="C29" s="433"/>
      <c r="D29" s="433"/>
      <c r="E29" s="433"/>
      <c r="F29" s="433"/>
      <c r="G29" s="433"/>
      <c r="H29" s="433"/>
      <c r="I29" s="433"/>
      <c r="J29" s="433"/>
      <c r="K29" s="433"/>
      <c r="L29" s="433"/>
      <c r="M29" s="433"/>
      <c r="N29" s="433"/>
      <c r="O29" s="433"/>
      <c r="P29" s="433"/>
      <c r="Q29" s="433"/>
      <c r="R29" s="433"/>
      <c r="S29" s="433"/>
      <c r="T29" s="433"/>
      <c r="U29" s="433"/>
      <c r="V29" s="433"/>
      <c r="W29" s="433"/>
      <c r="X29" s="433"/>
      <c r="Y29"/>
      <c r="AI29" s="3"/>
    </row>
  </sheetData>
  <mergeCells count="26">
    <mergeCell ref="B1:S2"/>
    <mergeCell ref="T1:X4"/>
    <mergeCell ref="B3:S4"/>
    <mergeCell ref="A1:A4"/>
    <mergeCell ref="A5:A6"/>
    <mergeCell ref="K5:M5"/>
    <mergeCell ref="N5:P5"/>
    <mergeCell ref="S5:T5"/>
    <mergeCell ref="W5:W6"/>
    <mergeCell ref="Q5:Q6"/>
    <mergeCell ref="A29:X29"/>
    <mergeCell ref="U5:V5"/>
    <mergeCell ref="C5:C6"/>
    <mergeCell ref="D5:D6"/>
    <mergeCell ref="E5:G5"/>
    <mergeCell ref="B5:B6"/>
    <mergeCell ref="X5:X6"/>
    <mergeCell ref="R5:R6"/>
    <mergeCell ref="A26:B26"/>
    <mergeCell ref="H5:J5"/>
    <mergeCell ref="A27:X27"/>
    <mergeCell ref="A28:X28"/>
    <mergeCell ref="A25:B25"/>
    <mergeCell ref="K26:X26"/>
    <mergeCell ref="E26:F26"/>
    <mergeCell ref="H26:I26"/>
  </mergeCells>
  <pageMargins left="0.25" right="0.25" top="0.75" bottom="0.75" header="0.3" footer="0.3"/>
  <pageSetup paperSize="5" orientation="landscape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-0.499984740745262"/>
  </sheetPr>
  <dimension ref="A1:AI24"/>
  <sheetViews>
    <sheetView zoomScaleNormal="100" workbookViewId="0">
      <selection activeCell="B1" sqref="B1:S2"/>
    </sheetView>
  </sheetViews>
  <sheetFormatPr defaultColWidth="9.140625" defaultRowHeight="15"/>
  <cols>
    <col min="1" max="1" width="25.140625" customWidth="1"/>
    <col min="2" max="2" width="6.5703125" customWidth="1"/>
    <col min="3" max="3" width="5.7109375" style="1" customWidth="1"/>
    <col min="4" max="4" width="6.140625" style="1" customWidth="1"/>
    <col min="5" max="23" width="5.7109375" style="1" customWidth="1"/>
    <col min="24" max="24" width="6.140625" style="1" customWidth="1"/>
    <col min="25" max="255" width="11.42578125" customWidth="1"/>
  </cols>
  <sheetData>
    <row r="1" spans="1:24" ht="14.25" customHeight="1">
      <c r="A1" s="490"/>
      <c r="B1" s="421" t="s">
        <v>269</v>
      </c>
      <c r="C1" s="421"/>
      <c r="D1" s="421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1"/>
      <c r="Q1" s="421"/>
      <c r="R1" s="421"/>
      <c r="S1" s="421"/>
      <c r="T1" s="409"/>
      <c r="U1" s="409"/>
      <c r="V1" s="409"/>
      <c r="W1" s="409"/>
      <c r="X1" s="410"/>
    </row>
    <row r="2" spans="1:24" ht="14.25" customHeight="1">
      <c r="A2" s="491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11"/>
      <c r="U2" s="411"/>
      <c r="V2" s="411"/>
      <c r="W2" s="411"/>
      <c r="X2" s="412"/>
    </row>
    <row r="3" spans="1:24" ht="15" customHeight="1">
      <c r="A3" s="491"/>
      <c r="B3" s="492" t="s">
        <v>270</v>
      </c>
      <c r="C3" s="492"/>
      <c r="D3" s="492"/>
      <c r="E3" s="492"/>
      <c r="F3" s="492"/>
      <c r="G3" s="492"/>
      <c r="H3" s="492"/>
      <c r="I3" s="492"/>
      <c r="J3" s="492"/>
      <c r="K3" s="492"/>
      <c r="L3" s="492"/>
      <c r="M3" s="492"/>
      <c r="N3" s="492"/>
      <c r="O3" s="492"/>
      <c r="P3" s="492"/>
      <c r="Q3" s="492"/>
      <c r="R3" s="492"/>
      <c r="S3" s="492"/>
      <c r="T3" s="411"/>
      <c r="U3" s="411"/>
      <c r="V3" s="411"/>
      <c r="W3" s="411"/>
      <c r="X3" s="412"/>
    </row>
    <row r="4" spans="1:24" ht="15.75" customHeight="1">
      <c r="A4" s="491"/>
      <c r="B4" s="492"/>
      <c r="C4" s="492"/>
      <c r="D4" s="492"/>
      <c r="E4" s="492"/>
      <c r="F4" s="492"/>
      <c r="G4" s="492"/>
      <c r="H4" s="492"/>
      <c r="I4" s="492"/>
      <c r="J4" s="492"/>
      <c r="K4" s="492"/>
      <c r="L4" s="492"/>
      <c r="M4" s="492"/>
      <c r="N4" s="492"/>
      <c r="O4" s="492"/>
      <c r="P4" s="492"/>
      <c r="Q4" s="492"/>
      <c r="R4" s="492"/>
      <c r="S4" s="492"/>
      <c r="T4" s="411"/>
      <c r="U4" s="411"/>
      <c r="V4" s="411"/>
      <c r="W4" s="411"/>
      <c r="X4" s="412"/>
    </row>
    <row r="5" spans="1:24" ht="15" customHeight="1">
      <c r="A5" s="413" t="s">
        <v>2</v>
      </c>
      <c r="B5" s="430" t="s">
        <v>3</v>
      </c>
      <c r="C5" s="415" t="s">
        <v>4</v>
      </c>
      <c r="D5" s="468" t="s">
        <v>5</v>
      </c>
      <c r="E5" s="434" t="s">
        <v>6</v>
      </c>
      <c r="F5" s="435"/>
      <c r="G5" s="427"/>
      <c r="H5" s="426" t="s">
        <v>7</v>
      </c>
      <c r="I5" s="435"/>
      <c r="J5" s="430"/>
      <c r="K5" s="434" t="s">
        <v>8</v>
      </c>
      <c r="L5" s="435"/>
      <c r="M5" s="427"/>
      <c r="N5" s="428" t="s">
        <v>9</v>
      </c>
      <c r="O5" s="439"/>
      <c r="P5" s="429"/>
      <c r="Q5" s="415" t="s">
        <v>10</v>
      </c>
      <c r="R5" s="468" t="s">
        <v>11</v>
      </c>
      <c r="S5" s="434" t="s">
        <v>12</v>
      </c>
      <c r="T5" s="427"/>
      <c r="U5" s="428" t="s">
        <v>13</v>
      </c>
      <c r="V5" s="429"/>
      <c r="W5" s="475" t="s">
        <v>14</v>
      </c>
      <c r="X5" s="468" t="s">
        <v>15</v>
      </c>
    </row>
    <row r="6" spans="1:24" ht="15" customHeight="1">
      <c r="A6" s="414"/>
      <c r="B6" s="431"/>
      <c r="C6" s="416"/>
      <c r="D6" s="438"/>
      <c r="E6" s="135" t="s">
        <v>16</v>
      </c>
      <c r="F6" s="134" t="s">
        <v>17</v>
      </c>
      <c r="G6" s="136" t="s">
        <v>18</v>
      </c>
      <c r="H6" s="133" t="s">
        <v>16</v>
      </c>
      <c r="I6" s="134" t="s">
        <v>17</v>
      </c>
      <c r="J6" s="132" t="s">
        <v>18</v>
      </c>
      <c r="K6" s="135" t="s">
        <v>16</v>
      </c>
      <c r="L6" s="134" t="s">
        <v>17</v>
      </c>
      <c r="M6" s="136" t="s">
        <v>18</v>
      </c>
      <c r="N6" s="145" t="s">
        <v>19</v>
      </c>
      <c r="O6" s="141" t="s">
        <v>20</v>
      </c>
      <c r="P6" s="146" t="s">
        <v>21</v>
      </c>
      <c r="Q6" s="416"/>
      <c r="R6" s="438"/>
      <c r="S6" s="135" t="s">
        <v>22</v>
      </c>
      <c r="T6" s="136" t="s">
        <v>23</v>
      </c>
      <c r="U6" s="145" t="s">
        <v>24</v>
      </c>
      <c r="V6" s="146" t="s">
        <v>25</v>
      </c>
      <c r="W6" s="476"/>
      <c r="X6" s="438"/>
    </row>
    <row r="7" spans="1:24" ht="18.75" customHeight="1">
      <c r="A7" s="94" t="s">
        <v>271</v>
      </c>
      <c r="B7" s="52" t="s">
        <v>33</v>
      </c>
      <c r="C7" s="57">
        <v>22</v>
      </c>
      <c r="D7" s="234">
        <v>17.100000000000001</v>
      </c>
      <c r="E7" s="30">
        <f>95/22</f>
        <v>4.3181818181818183</v>
      </c>
      <c r="F7" s="6">
        <f>197/22</f>
        <v>8.954545454545455</v>
      </c>
      <c r="G7" s="167">
        <v>48.2</v>
      </c>
      <c r="H7" s="26">
        <f>32/22</f>
        <v>1.4545454545454546</v>
      </c>
      <c r="I7" s="6">
        <f>97/22</f>
        <v>4.4090909090909092</v>
      </c>
      <c r="J7" s="177">
        <v>33</v>
      </c>
      <c r="K7" s="30">
        <f>90/22</f>
        <v>4.0909090909090908</v>
      </c>
      <c r="L7" s="6">
        <f>128/22</f>
        <v>5.8181818181818183</v>
      </c>
      <c r="M7" s="167">
        <v>70.3</v>
      </c>
      <c r="N7" s="49">
        <v>5.4</v>
      </c>
      <c r="O7" s="7">
        <v>1.6</v>
      </c>
      <c r="P7" s="27">
        <v>7</v>
      </c>
      <c r="Q7" s="57">
        <v>2.5</v>
      </c>
      <c r="R7" s="44">
        <v>0.2</v>
      </c>
      <c r="S7" s="30">
        <v>2.2999999999999998</v>
      </c>
      <c r="T7" s="23">
        <v>0.8</v>
      </c>
      <c r="U7" s="49">
        <v>1.4</v>
      </c>
      <c r="V7" s="100" t="s">
        <v>28</v>
      </c>
      <c r="W7" s="57" t="s">
        <v>272</v>
      </c>
      <c r="X7" s="232">
        <v>18.600000000000001</v>
      </c>
    </row>
    <row r="8" spans="1:24" ht="18.75" customHeight="1">
      <c r="A8" s="127" t="s">
        <v>273</v>
      </c>
      <c r="B8" s="51" t="s">
        <v>33</v>
      </c>
      <c r="C8" s="56">
        <v>23</v>
      </c>
      <c r="D8" s="233">
        <v>10.3</v>
      </c>
      <c r="E8" s="29">
        <f>39/23</f>
        <v>1.6956521739130435</v>
      </c>
      <c r="F8" s="12">
        <f>68/23</f>
        <v>2.9565217391304346</v>
      </c>
      <c r="G8" s="165">
        <v>57.4</v>
      </c>
      <c r="H8" s="25">
        <f>38/23</f>
        <v>1.6521739130434783</v>
      </c>
      <c r="I8" s="12">
        <f>108/23</f>
        <v>4.6956521739130439</v>
      </c>
      <c r="J8" s="174">
        <v>35.200000000000003</v>
      </c>
      <c r="K8" s="29">
        <f>44/23</f>
        <v>1.9130434782608696</v>
      </c>
      <c r="L8" s="12">
        <f>52/23</f>
        <v>2.2608695652173911</v>
      </c>
      <c r="M8" s="165">
        <v>84.6</v>
      </c>
      <c r="N8" s="47">
        <v>3.1</v>
      </c>
      <c r="O8" s="11">
        <v>0.7</v>
      </c>
      <c r="P8" s="33">
        <v>3.7</v>
      </c>
      <c r="Q8" s="56">
        <v>6.2</v>
      </c>
      <c r="R8" s="19">
        <v>0.1</v>
      </c>
      <c r="S8" s="29">
        <v>2</v>
      </c>
      <c r="T8" s="22">
        <v>1.9</v>
      </c>
      <c r="U8" s="47">
        <v>2.9</v>
      </c>
      <c r="V8" s="99" t="s">
        <v>28</v>
      </c>
      <c r="W8" s="56" t="s">
        <v>274</v>
      </c>
      <c r="X8" s="233">
        <v>15.4</v>
      </c>
    </row>
    <row r="9" spans="1:24" ht="18.75" customHeight="1">
      <c r="A9" s="94" t="s">
        <v>275</v>
      </c>
      <c r="B9" s="52" t="s">
        <v>33</v>
      </c>
      <c r="C9" s="57">
        <v>21</v>
      </c>
      <c r="D9" s="234">
        <v>9.8000000000000007</v>
      </c>
      <c r="E9" s="30">
        <f>79/21</f>
        <v>3.7619047619047619</v>
      </c>
      <c r="F9" s="6">
        <f>135/21</f>
        <v>6.4285714285714288</v>
      </c>
      <c r="G9" s="167">
        <v>58.5</v>
      </c>
      <c r="H9" s="26">
        <f>7/21</f>
        <v>0.33333333333333331</v>
      </c>
      <c r="I9" s="6">
        <f>28/21</f>
        <v>1.3333333333333333</v>
      </c>
      <c r="J9" s="177">
        <v>25</v>
      </c>
      <c r="K9" s="30">
        <f>26/21</f>
        <v>1.2380952380952381</v>
      </c>
      <c r="L9" s="6">
        <f>50/21</f>
        <v>2.3809523809523809</v>
      </c>
      <c r="M9" s="167">
        <v>52</v>
      </c>
      <c r="N9" s="49">
        <v>3.7</v>
      </c>
      <c r="O9" s="7">
        <v>1.2</v>
      </c>
      <c r="P9" s="27">
        <v>4.9000000000000004</v>
      </c>
      <c r="Q9" s="57">
        <v>1.5</v>
      </c>
      <c r="R9" s="20">
        <v>1.1000000000000001</v>
      </c>
      <c r="S9" s="30">
        <v>0.7</v>
      </c>
      <c r="T9" s="23">
        <v>0.7</v>
      </c>
      <c r="U9" s="49">
        <v>2.2999999999999998</v>
      </c>
      <c r="V9" s="100" t="s">
        <v>28</v>
      </c>
      <c r="W9" s="57" t="s">
        <v>276</v>
      </c>
      <c r="X9" s="232">
        <v>11.7</v>
      </c>
    </row>
    <row r="10" spans="1:24" ht="18.75" customHeight="1">
      <c r="A10" s="127" t="s">
        <v>277</v>
      </c>
      <c r="B10" s="51" t="s">
        <v>33</v>
      </c>
      <c r="C10" s="56">
        <v>18</v>
      </c>
      <c r="D10" s="233">
        <v>11.4</v>
      </c>
      <c r="E10" s="29">
        <f>55/18</f>
        <v>3.0555555555555554</v>
      </c>
      <c r="F10" s="12">
        <f>83/18</f>
        <v>4.6111111111111107</v>
      </c>
      <c r="G10" s="216">
        <v>66.3</v>
      </c>
      <c r="H10" s="25">
        <f>22/18</f>
        <v>1.2222222222222223</v>
      </c>
      <c r="I10" s="12">
        <f>73/18</f>
        <v>4.0555555555555554</v>
      </c>
      <c r="J10" s="174">
        <v>30.1</v>
      </c>
      <c r="K10" s="29">
        <f>29/18</f>
        <v>1.6111111111111112</v>
      </c>
      <c r="L10" s="12">
        <f>31/18</f>
        <v>1.7222222222222223</v>
      </c>
      <c r="M10" s="216">
        <v>93.5</v>
      </c>
      <c r="N10" s="47">
        <v>1.7</v>
      </c>
      <c r="O10" s="12">
        <v>0.4</v>
      </c>
      <c r="P10" s="33">
        <v>2.1</v>
      </c>
      <c r="Q10" s="56">
        <v>1.1000000000000001</v>
      </c>
      <c r="R10" s="19">
        <v>0</v>
      </c>
      <c r="S10" s="42">
        <v>0.8</v>
      </c>
      <c r="T10" s="22">
        <v>0.7</v>
      </c>
      <c r="U10" s="25">
        <v>1.2</v>
      </c>
      <c r="V10" s="99" t="s">
        <v>28</v>
      </c>
      <c r="W10" s="56" t="s">
        <v>278</v>
      </c>
      <c r="X10" s="233">
        <v>9.8000000000000007</v>
      </c>
    </row>
    <row r="11" spans="1:24" ht="18.75" customHeight="1">
      <c r="A11" s="94" t="s">
        <v>279</v>
      </c>
      <c r="B11" s="52" t="s">
        <v>27</v>
      </c>
      <c r="C11" s="57">
        <v>21</v>
      </c>
      <c r="D11" s="232">
        <v>10.7</v>
      </c>
      <c r="E11" s="30">
        <f>49/21</f>
        <v>2.3333333333333335</v>
      </c>
      <c r="F11" s="6">
        <f>109/21</f>
        <v>5.1904761904761907</v>
      </c>
      <c r="G11" s="167">
        <v>45</v>
      </c>
      <c r="H11" s="26">
        <f>27/21</f>
        <v>1.2857142857142858</v>
      </c>
      <c r="I11" s="6">
        <f>85/21</f>
        <v>4.0476190476190474</v>
      </c>
      <c r="J11" s="177">
        <v>31.8</v>
      </c>
      <c r="K11" s="30">
        <f>45/21</f>
        <v>2.1428571428571428</v>
      </c>
      <c r="L11" s="6">
        <f>88/21</f>
        <v>4.1904761904761907</v>
      </c>
      <c r="M11" s="167">
        <v>51.1</v>
      </c>
      <c r="N11" s="49">
        <v>3.5</v>
      </c>
      <c r="O11" s="7">
        <v>0.9</v>
      </c>
      <c r="P11" s="27">
        <v>4.4000000000000004</v>
      </c>
      <c r="Q11" s="57">
        <v>2.2999999999999998</v>
      </c>
      <c r="R11" s="20">
        <v>0.2</v>
      </c>
      <c r="S11" s="43">
        <v>2.2999999999999998</v>
      </c>
      <c r="T11" s="23">
        <v>0.8</v>
      </c>
      <c r="U11" s="26">
        <v>2</v>
      </c>
      <c r="V11" s="100" t="s">
        <v>28</v>
      </c>
      <c r="W11" s="57" t="s">
        <v>280</v>
      </c>
      <c r="X11" s="234">
        <v>9.1</v>
      </c>
    </row>
    <row r="12" spans="1:24" ht="18.75" customHeight="1">
      <c r="A12" s="127" t="s">
        <v>281</v>
      </c>
      <c r="B12" s="51" t="s">
        <v>27</v>
      </c>
      <c r="C12" s="56">
        <v>23</v>
      </c>
      <c r="D12" s="233">
        <v>6.9</v>
      </c>
      <c r="E12" s="29">
        <f>43/23</f>
        <v>1.8695652173913044</v>
      </c>
      <c r="F12" s="12">
        <f>80/23</f>
        <v>3.4782608695652173</v>
      </c>
      <c r="G12" s="216">
        <v>53.8</v>
      </c>
      <c r="H12" s="31">
        <f>16/23</f>
        <v>0.69565217391304346</v>
      </c>
      <c r="I12" s="12">
        <f>64/23</f>
        <v>2.7826086956521738</v>
      </c>
      <c r="J12" s="174">
        <v>25</v>
      </c>
      <c r="K12" s="29">
        <f>24/23</f>
        <v>1.0434782608695652</v>
      </c>
      <c r="L12" s="12">
        <f>37/23</f>
        <v>1.6086956521739131</v>
      </c>
      <c r="M12" s="216">
        <v>64.900000000000006</v>
      </c>
      <c r="N12" s="25">
        <v>1.9</v>
      </c>
      <c r="O12" s="11">
        <v>0.8</v>
      </c>
      <c r="P12" s="33">
        <v>2.7</v>
      </c>
      <c r="Q12" s="56">
        <v>0.9</v>
      </c>
      <c r="R12" s="19">
        <v>0.3</v>
      </c>
      <c r="S12" s="42">
        <v>1.3</v>
      </c>
      <c r="T12" s="22">
        <v>0.7</v>
      </c>
      <c r="U12" s="25">
        <v>1.7</v>
      </c>
      <c r="V12" s="99" t="s">
        <v>28</v>
      </c>
      <c r="W12" s="56" t="s">
        <v>282</v>
      </c>
      <c r="X12" s="233">
        <v>5.5</v>
      </c>
    </row>
    <row r="13" spans="1:24" ht="18.75" customHeight="1">
      <c r="A13" s="94" t="s">
        <v>283</v>
      </c>
      <c r="B13" s="52" t="s">
        <v>284</v>
      </c>
      <c r="C13" s="57">
        <v>21</v>
      </c>
      <c r="D13" s="234">
        <v>6.6</v>
      </c>
      <c r="E13" s="30">
        <f>37/21</f>
        <v>1.7619047619047619</v>
      </c>
      <c r="F13" s="6">
        <f>72/21</f>
        <v>3.4285714285714284</v>
      </c>
      <c r="G13" s="166">
        <v>51.4</v>
      </c>
      <c r="H13" s="26">
        <f>16/21</f>
        <v>0.76190476190476186</v>
      </c>
      <c r="I13" s="6">
        <f>60/21</f>
        <v>2.8571428571428572</v>
      </c>
      <c r="J13" s="177">
        <v>26.7</v>
      </c>
      <c r="K13" s="30">
        <f>17/21</f>
        <v>0.80952380952380953</v>
      </c>
      <c r="L13" s="6">
        <f>29/21</f>
        <v>1.3809523809523809</v>
      </c>
      <c r="M13" s="167">
        <v>58.6</v>
      </c>
      <c r="N13" s="49">
        <v>1.5</v>
      </c>
      <c r="O13" s="6">
        <v>0.8</v>
      </c>
      <c r="P13" s="27">
        <v>2.2999999999999998</v>
      </c>
      <c r="Q13" s="250">
        <v>0.5</v>
      </c>
      <c r="R13" s="20">
        <v>0.4</v>
      </c>
      <c r="S13" s="43">
        <v>0.7</v>
      </c>
      <c r="T13" s="23">
        <v>1.5</v>
      </c>
      <c r="U13" s="26">
        <v>2</v>
      </c>
      <c r="V13" s="100" t="s">
        <v>28</v>
      </c>
      <c r="W13" s="57" t="s">
        <v>285</v>
      </c>
      <c r="X13" s="234">
        <v>5.2</v>
      </c>
    </row>
    <row r="14" spans="1:24" ht="18.75" customHeight="1">
      <c r="A14" s="127" t="s">
        <v>286</v>
      </c>
      <c r="B14" s="51" t="s">
        <v>27</v>
      </c>
      <c r="C14" s="56">
        <v>14</v>
      </c>
      <c r="D14" s="233">
        <v>6.1</v>
      </c>
      <c r="E14" s="29">
        <f>18/14</f>
        <v>1.2857142857142858</v>
      </c>
      <c r="F14" s="12">
        <f>40/14</f>
        <v>2.8571428571428572</v>
      </c>
      <c r="G14" s="216">
        <v>45</v>
      </c>
      <c r="H14" s="25">
        <f>12/14</f>
        <v>0.8571428571428571</v>
      </c>
      <c r="I14" s="12">
        <f>38/14</f>
        <v>2.7142857142857144</v>
      </c>
      <c r="J14" s="174">
        <v>31.6</v>
      </c>
      <c r="K14" s="29">
        <v>1</v>
      </c>
      <c r="L14" s="12">
        <f>18/14</f>
        <v>1.2857142857142858</v>
      </c>
      <c r="M14" s="165">
        <v>77.8</v>
      </c>
      <c r="N14" s="47">
        <v>1.6</v>
      </c>
      <c r="O14" s="11">
        <v>0.2</v>
      </c>
      <c r="P14" s="33">
        <v>1.9</v>
      </c>
      <c r="Q14" s="56">
        <v>0.6</v>
      </c>
      <c r="R14" s="19">
        <v>0</v>
      </c>
      <c r="S14" s="42">
        <v>0.5</v>
      </c>
      <c r="T14" s="102">
        <v>0.7</v>
      </c>
      <c r="U14" s="47">
        <v>1.5</v>
      </c>
      <c r="V14" s="99" t="s">
        <v>28</v>
      </c>
      <c r="W14" s="56" t="s">
        <v>287</v>
      </c>
      <c r="X14" s="233">
        <v>4.2</v>
      </c>
    </row>
    <row r="15" spans="1:24" ht="18.75" customHeight="1">
      <c r="A15" s="94" t="s">
        <v>288</v>
      </c>
      <c r="B15" s="52" t="s">
        <v>162</v>
      </c>
      <c r="C15" s="57">
        <v>7</v>
      </c>
      <c r="D15" s="232">
        <v>5</v>
      </c>
      <c r="E15" s="30">
        <f>4/7</f>
        <v>0.5714285714285714</v>
      </c>
      <c r="F15" s="6">
        <v>2</v>
      </c>
      <c r="G15" s="166">
        <v>28.6</v>
      </c>
      <c r="H15" s="26">
        <f>8/7</f>
        <v>1.1428571428571428</v>
      </c>
      <c r="I15" s="6">
        <f>20/7</f>
        <v>2.8571428571428572</v>
      </c>
      <c r="J15" s="177">
        <v>40</v>
      </c>
      <c r="K15" s="30">
        <f>3/7</f>
        <v>0.42857142857142855</v>
      </c>
      <c r="L15" s="6">
        <f>4/7</f>
        <v>0.5714285714285714</v>
      </c>
      <c r="M15" s="167">
        <v>75</v>
      </c>
      <c r="N15" s="26">
        <v>1.9</v>
      </c>
      <c r="O15" s="6">
        <v>0.3</v>
      </c>
      <c r="P15" s="27">
        <v>2.1</v>
      </c>
      <c r="Q15" s="57">
        <v>0.3</v>
      </c>
      <c r="R15" s="20">
        <v>0.3</v>
      </c>
      <c r="S15" s="43">
        <v>0.9</v>
      </c>
      <c r="T15" s="23">
        <v>0.4</v>
      </c>
      <c r="U15" s="26">
        <v>2.2999999999999998</v>
      </c>
      <c r="V15" s="100" t="s">
        <v>28</v>
      </c>
      <c r="W15" s="57" t="s">
        <v>289</v>
      </c>
      <c r="X15" s="234">
        <v>2.2999999999999998</v>
      </c>
    </row>
    <row r="16" spans="1:24" ht="18.75" customHeight="1">
      <c r="A16" s="127" t="s">
        <v>290</v>
      </c>
      <c r="B16" s="51" t="s">
        <v>162</v>
      </c>
      <c r="C16" s="56">
        <v>19</v>
      </c>
      <c r="D16" s="235">
        <v>1.8</v>
      </c>
      <c r="E16" s="29">
        <f>15/19</f>
        <v>0.78947368421052633</v>
      </c>
      <c r="F16" s="12">
        <f>24/19</f>
        <v>1.263157894736842</v>
      </c>
      <c r="G16" s="216">
        <v>62.5</v>
      </c>
      <c r="H16" s="31">
        <v>0</v>
      </c>
      <c r="I16" s="12">
        <f>20/19</f>
        <v>1.0526315789473684</v>
      </c>
      <c r="J16" s="236">
        <v>0</v>
      </c>
      <c r="K16" s="29">
        <f>5/19</f>
        <v>0.26315789473684209</v>
      </c>
      <c r="L16" s="12">
        <f>8/19</f>
        <v>0.42105263157894735</v>
      </c>
      <c r="M16" s="165">
        <v>62.5</v>
      </c>
      <c r="N16" s="47">
        <v>0.7</v>
      </c>
      <c r="O16" s="12">
        <v>0.8</v>
      </c>
      <c r="P16" s="33">
        <v>1.5</v>
      </c>
      <c r="Q16" s="56">
        <v>1.2</v>
      </c>
      <c r="R16" s="19">
        <v>0</v>
      </c>
      <c r="S16" s="29">
        <v>0.7</v>
      </c>
      <c r="T16" s="22">
        <v>0.7</v>
      </c>
      <c r="U16" s="47">
        <v>1.1000000000000001</v>
      </c>
      <c r="V16" s="99" t="s">
        <v>28</v>
      </c>
      <c r="W16" s="56" t="s">
        <v>193</v>
      </c>
      <c r="X16" s="235">
        <v>2.1</v>
      </c>
    </row>
    <row r="17" spans="1:35" ht="18.75" customHeight="1">
      <c r="A17" s="94" t="s">
        <v>291</v>
      </c>
      <c r="B17" s="52" t="s">
        <v>27</v>
      </c>
      <c r="C17" s="57">
        <v>16</v>
      </c>
      <c r="D17" s="234">
        <v>1.5</v>
      </c>
      <c r="E17" s="30">
        <f>10/16</f>
        <v>0.625</v>
      </c>
      <c r="F17" s="6">
        <f>14/16</f>
        <v>0.875</v>
      </c>
      <c r="G17" s="166">
        <v>71.400000000000006</v>
      </c>
      <c r="H17" s="26">
        <f>1/16</f>
        <v>6.25E-2</v>
      </c>
      <c r="I17" s="6">
        <f>4/16</f>
        <v>0.25</v>
      </c>
      <c r="J17" s="177">
        <v>25</v>
      </c>
      <c r="K17" s="30">
        <f>1/16</f>
        <v>6.25E-2</v>
      </c>
      <c r="L17" s="6">
        <f>8/16</f>
        <v>0.5</v>
      </c>
      <c r="M17" s="167">
        <v>12.5</v>
      </c>
      <c r="N17" s="26">
        <v>0.7</v>
      </c>
      <c r="O17" s="6">
        <v>1</v>
      </c>
      <c r="P17" s="27">
        <v>1.7</v>
      </c>
      <c r="Q17" s="57">
        <v>0.3</v>
      </c>
      <c r="R17" s="44">
        <v>0.2</v>
      </c>
      <c r="S17" s="43">
        <v>0.3</v>
      </c>
      <c r="T17" s="23">
        <v>0.3</v>
      </c>
      <c r="U17" s="49">
        <v>0.9</v>
      </c>
      <c r="V17" s="100" t="s">
        <v>28</v>
      </c>
      <c r="W17" s="57" t="s">
        <v>51</v>
      </c>
      <c r="X17" s="234">
        <v>2.1</v>
      </c>
    </row>
    <row r="18" spans="1:35" ht="18.75" customHeight="1">
      <c r="A18" s="127" t="s">
        <v>292</v>
      </c>
      <c r="B18" s="51" t="s">
        <v>27</v>
      </c>
      <c r="C18" s="56">
        <v>22</v>
      </c>
      <c r="D18" s="235">
        <v>1.3</v>
      </c>
      <c r="E18" s="29">
        <f>10/22</f>
        <v>0.45454545454545453</v>
      </c>
      <c r="F18" s="12">
        <f>23/22</f>
        <v>1.0454545454545454</v>
      </c>
      <c r="G18" s="165">
        <v>43.5</v>
      </c>
      <c r="H18" s="31">
        <v>0</v>
      </c>
      <c r="I18" s="12">
        <v>0.1</v>
      </c>
      <c r="J18" s="236">
        <v>0</v>
      </c>
      <c r="K18" s="29">
        <f>9/22</f>
        <v>0.40909090909090912</v>
      </c>
      <c r="L18" s="12">
        <f>14/22</f>
        <v>0.63636363636363635</v>
      </c>
      <c r="M18" s="216">
        <v>64.3</v>
      </c>
      <c r="N18" s="47">
        <v>0.9</v>
      </c>
      <c r="O18" s="11">
        <v>0.7</v>
      </c>
      <c r="P18" s="33">
        <v>1.6</v>
      </c>
      <c r="Q18" s="249">
        <v>0.4</v>
      </c>
      <c r="R18" s="19">
        <v>0</v>
      </c>
      <c r="S18" s="42">
        <v>0.4</v>
      </c>
      <c r="T18" s="22">
        <v>0.4</v>
      </c>
      <c r="U18" s="47">
        <v>1.6</v>
      </c>
      <c r="V18" s="99" t="s">
        <v>28</v>
      </c>
      <c r="W18" s="56" t="s">
        <v>100</v>
      </c>
      <c r="X18" s="233">
        <v>1.6</v>
      </c>
    </row>
    <row r="19" spans="1:35" ht="18.75" customHeight="1">
      <c r="A19" s="109" t="s">
        <v>293</v>
      </c>
      <c r="B19" s="253" t="s">
        <v>33</v>
      </c>
      <c r="C19" s="117">
        <v>2</v>
      </c>
      <c r="D19" s="309">
        <v>7.5</v>
      </c>
      <c r="E19" s="310">
        <v>0</v>
      </c>
      <c r="F19" s="113">
        <f>1/2</f>
        <v>0.5</v>
      </c>
      <c r="G19" s="275">
        <v>0</v>
      </c>
      <c r="H19" s="112">
        <f>5/2</f>
        <v>2.5</v>
      </c>
      <c r="I19" s="113">
        <f>16/2</f>
        <v>8</v>
      </c>
      <c r="J19" s="276">
        <v>31.3</v>
      </c>
      <c r="K19" s="254">
        <v>0</v>
      </c>
      <c r="L19" s="113">
        <v>0.5</v>
      </c>
      <c r="M19" s="275">
        <v>0</v>
      </c>
      <c r="N19" s="112">
        <v>2</v>
      </c>
      <c r="O19" s="113">
        <v>1</v>
      </c>
      <c r="P19" s="255">
        <v>3</v>
      </c>
      <c r="Q19" s="117">
        <v>0.5</v>
      </c>
      <c r="R19" s="111">
        <v>0</v>
      </c>
      <c r="S19" s="254">
        <v>2.5</v>
      </c>
      <c r="T19" s="110">
        <v>0.5</v>
      </c>
      <c r="U19" s="112">
        <v>3</v>
      </c>
      <c r="V19" s="120" t="s">
        <v>28</v>
      </c>
      <c r="W19" s="117" t="s">
        <v>139</v>
      </c>
      <c r="X19" s="309">
        <v>0</v>
      </c>
    </row>
    <row r="20" spans="1:35" s="2" customFormat="1" ht="18.75" customHeight="1">
      <c r="A20" s="448" t="s">
        <v>294</v>
      </c>
      <c r="B20" s="449"/>
      <c r="C20" s="88">
        <v>23</v>
      </c>
      <c r="D20" s="311">
        <v>77.3</v>
      </c>
      <c r="E20" s="230">
        <v>19.899999999999999</v>
      </c>
      <c r="F20" s="81">
        <v>37.9</v>
      </c>
      <c r="G20" s="312">
        <v>52.6</v>
      </c>
      <c r="H20" s="80">
        <v>8</v>
      </c>
      <c r="I20" s="81">
        <v>27</v>
      </c>
      <c r="J20" s="313">
        <v>29.7</v>
      </c>
      <c r="K20" s="230">
        <v>13.4</v>
      </c>
      <c r="L20" s="81">
        <v>20.399999999999999</v>
      </c>
      <c r="M20" s="312">
        <v>65.7</v>
      </c>
      <c r="N20" s="89">
        <v>23.2</v>
      </c>
      <c r="O20" s="85">
        <v>8.4</v>
      </c>
      <c r="P20" s="314">
        <v>31.7</v>
      </c>
      <c r="Q20" s="246">
        <v>16.399999999999999</v>
      </c>
      <c r="R20" s="78">
        <v>2.5</v>
      </c>
      <c r="S20" s="84">
        <v>11.7</v>
      </c>
      <c r="T20" s="122">
        <v>8.4</v>
      </c>
      <c r="U20" s="89">
        <v>17.8</v>
      </c>
      <c r="V20" s="270"/>
      <c r="W20" s="125"/>
      <c r="X20" s="315">
        <v>78.3</v>
      </c>
      <c r="Y20"/>
      <c r="Z20"/>
    </row>
    <row r="21" spans="1:35" s="2" customFormat="1" ht="18.75" customHeight="1">
      <c r="A21" s="440" t="s">
        <v>62</v>
      </c>
      <c r="B21" s="483"/>
      <c r="C21" s="180">
        <v>23</v>
      </c>
      <c r="D21" s="292">
        <v>80.3</v>
      </c>
      <c r="E21" s="447"/>
      <c r="F21" s="447"/>
      <c r="G21" s="180">
        <v>53.5</v>
      </c>
      <c r="H21" s="443"/>
      <c r="I21" s="443"/>
      <c r="J21" s="180">
        <v>31.8</v>
      </c>
      <c r="K21" s="443"/>
      <c r="L21" s="443"/>
      <c r="M21" s="443"/>
      <c r="N21" s="443"/>
      <c r="O21" s="443"/>
      <c r="P21" s="443"/>
      <c r="Q21" s="443"/>
      <c r="R21" s="443"/>
      <c r="S21" s="443"/>
      <c r="T21" s="443"/>
      <c r="U21" s="443"/>
      <c r="V21" s="443"/>
      <c r="W21" s="443"/>
      <c r="X21" s="444"/>
      <c r="Y21"/>
      <c r="Z21"/>
    </row>
    <row r="22" spans="1:35" s="2" customFormat="1" ht="18.75" customHeight="1">
      <c r="A22" s="487" t="s">
        <v>295</v>
      </c>
      <c r="B22" s="437"/>
      <c r="C22" s="437"/>
      <c r="D22" s="437"/>
      <c r="E22" s="437"/>
      <c r="F22" s="437"/>
      <c r="G22" s="437"/>
      <c r="H22" s="437"/>
      <c r="I22" s="437"/>
      <c r="J22" s="437"/>
      <c r="K22" s="437"/>
      <c r="L22" s="437"/>
      <c r="M22" s="437"/>
      <c r="N22" s="437"/>
      <c r="O22" s="437"/>
      <c r="P22" s="437"/>
      <c r="Q22" s="437"/>
      <c r="R22" s="437"/>
      <c r="S22" s="437"/>
      <c r="T22" s="437"/>
      <c r="U22" s="437"/>
      <c r="V22" s="437"/>
      <c r="W22" s="437"/>
      <c r="X22" s="437"/>
      <c r="Y22"/>
      <c r="Z22"/>
    </row>
    <row r="23" spans="1:35" s="2" customFormat="1" ht="18.75" customHeight="1">
      <c r="A23" s="432" t="s">
        <v>296</v>
      </c>
      <c r="B23" s="432"/>
      <c r="C23" s="432"/>
      <c r="D23" s="432"/>
      <c r="E23" s="432"/>
      <c r="F23" s="432"/>
      <c r="G23" s="432"/>
      <c r="H23" s="432"/>
      <c r="I23" s="432"/>
      <c r="J23" s="432"/>
      <c r="K23" s="432"/>
      <c r="L23" s="432"/>
      <c r="M23" s="432"/>
      <c r="N23" s="432"/>
      <c r="O23" s="432"/>
      <c r="P23" s="432"/>
      <c r="Q23" s="432"/>
      <c r="R23" s="432"/>
      <c r="S23" s="432"/>
      <c r="T23" s="432"/>
      <c r="U23" s="432"/>
      <c r="V23" s="432"/>
      <c r="W23" s="432"/>
      <c r="X23" s="432"/>
      <c r="Y23"/>
    </row>
    <row r="24" spans="1:35" s="2" customFormat="1" ht="18.75" customHeight="1">
      <c r="A24" s="433" t="s">
        <v>65</v>
      </c>
      <c r="B24" s="433"/>
      <c r="C24" s="433"/>
      <c r="D24" s="433"/>
      <c r="E24" s="433"/>
      <c r="F24" s="433"/>
      <c r="G24" s="433"/>
      <c r="H24" s="433"/>
      <c r="I24" s="433"/>
      <c r="J24" s="433"/>
      <c r="K24" s="433"/>
      <c r="L24" s="433"/>
      <c r="M24" s="433"/>
      <c r="N24" s="433"/>
      <c r="O24" s="433"/>
      <c r="P24" s="433"/>
      <c r="Q24" s="433"/>
      <c r="R24" s="433"/>
      <c r="S24" s="433"/>
      <c r="T24" s="433"/>
      <c r="U24" s="433"/>
      <c r="V24" s="433"/>
      <c r="W24" s="433"/>
      <c r="X24" s="433"/>
      <c r="Y24"/>
      <c r="AI24" s="3"/>
    </row>
  </sheetData>
  <mergeCells count="26">
    <mergeCell ref="A1:A4"/>
    <mergeCell ref="A5:A6"/>
    <mergeCell ref="C5:C6"/>
    <mergeCell ref="K5:M5"/>
    <mergeCell ref="W5:W6"/>
    <mergeCell ref="B1:S2"/>
    <mergeCell ref="T1:X4"/>
    <mergeCell ref="H5:J5"/>
    <mergeCell ref="N5:P5"/>
    <mergeCell ref="B3:S4"/>
    <mergeCell ref="A20:B20"/>
    <mergeCell ref="S5:T5"/>
    <mergeCell ref="X5:X6"/>
    <mergeCell ref="B5:B6"/>
    <mergeCell ref="R5:R6"/>
    <mergeCell ref="E5:G5"/>
    <mergeCell ref="U5:V5"/>
    <mergeCell ref="D5:D6"/>
    <mergeCell ref="Q5:Q6"/>
    <mergeCell ref="K21:X21"/>
    <mergeCell ref="A21:B21"/>
    <mergeCell ref="A22:X22"/>
    <mergeCell ref="A23:X23"/>
    <mergeCell ref="A24:X24"/>
    <mergeCell ref="E21:F21"/>
    <mergeCell ref="H21:I21"/>
  </mergeCells>
  <pageMargins left="0.25" right="0.25" top="0.75" bottom="0.75" header="0.3" footer="0.3"/>
  <pageSetup paperSize="5" orientation="landscape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2060"/>
  </sheetPr>
  <dimension ref="A1:AI35"/>
  <sheetViews>
    <sheetView zoomScale="106" zoomScaleNormal="106" workbookViewId="0">
      <selection activeCell="B1" sqref="B1:S2"/>
    </sheetView>
  </sheetViews>
  <sheetFormatPr defaultColWidth="9.140625" defaultRowHeight="15"/>
  <cols>
    <col min="1" max="1" width="25.140625" customWidth="1"/>
    <col min="2" max="2" width="6" customWidth="1"/>
    <col min="3" max="3" width="5.7109375" style="1" customWidth="1"/>
    <col min="4" max="4" width="6.140625" style="1" customWidth="1"/>
    <col min="5" max="23" width="5.7109375" style="1" customWidth="1"/>
    <col min="24" max="24" width="6.140625" style="1" customWidth="1"/>
    <col min="25" max="255" width="11.42578125" customWidth="1"/>
  </cols>
  <sheetData>
    <row r="1" spans="1:24" ht="14.25" customHeight="1">
      <c r="A1" s="499"/>
      <c r="B1" s="421" t="s">
        <v>297</v>
      </c>
      <c r="C1" s="421"/>
      <c r="D1" s="421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1"/>
      <c r="Q1" s="421"/>
      <c r="R1" s="421"/>
      <c r="S1" s="421"/>
      <c r="T1" s="409"/>
      <c r="U1" s="409"/>
      <c r="V1" s="409"/>
      <c r="W1" s="409"/>
      <c r="X1" s="410"/>
    </row>
    <row r="2" spans="1:24" ht="14.25" customHeight="1">
      <c r="A2" s="500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11"/>
      <c r="U2" s="411"/>
      <c r="V2" s="411"/>
      <c r="W2" s="411"/>
      <c r="X2" s="412"/>
    </row>
    <row r="3" spans="1:24" ht="15" customHeight="1">
      <c r="A3" s="500"/>
      <c r="B3" s="498" t="s">
        <v>298</v>
      </c>
      <c r="C3" s="498"/>
      <c r="D3" s="498"/>
      <c r="E3" s="498"/>
      <c r="F3" s="498"/>
      <c r="G3" s="498"/>
      <c r="H3" s="498"/>
      <c r="I3" s="498"/>
      <c r="J3" s="498"/>
      <c r="K3" s="498"/>
      <c r="L3" s="498"/>
      <c r="M3" s="498"/>
      <c r="N3" s="498"/>
      <c r="O3" s="498"/>
      <c r="P3" s="498"/>
      <c r="Q3" s="498"/>
      <c r="R3" s="498"/>
      <c r="S3" s="498"/>
      <c r="T3" s="411"/>
      <c r="U3" s="411"/>
      <c r="V3" s="411"/>
      <c r="W3" s="411"/>
      <c r="X3" s="412"/>
    </row>
    <row r="4" spans="1:24" ht="15.75" customHeight="1">
      <c r="A4" s="500"/>
      <c r="B4" s="498"/>
      <c r="C4" s="498"/>
      <c r="D4" s="498"/>
      <c r="E4" s="498"/>
      <c r="F4" s="498"/>
      <c r="G4" s="498"/>
      <c r="H4" s="498"/>
      <c r="I4" s="498"/>
      <c r="J4" s="498"/>
      <c r="K4" s="498"/>
      <c r="L4" s="498"/>
      <c r="M4" s="498"/>
      <c r="N4" s="498"/>
      <c r="O4" s="498"/>
      <c r="P4" s="498"/>
      <c r="Q4" s="498"/>
      <c r="R4" s="498"/>
      <c r="S4" s="498"/>
      <c r="T4" s="411"/>
      <c r="U4" s="411"/>
      <c r="V4" s="411"/>
      <c r="W4" s="411"/>
      <c r="X4" s="412"/>
    </row>
    <row r="5" spans="1:24" ht="15" customHeight="1">
      <c r="A5" s="413" t="s">
        <v>2</v>
      </c>
      <c r="B5" s="430" t="s">
        <v>3</v>
      </c>
      <c r="C5" s="415" t="s">
        <v>4</v>
      </c>
      <c r="D5" s="468" t="s">
        <v>5</v>
      </c>
      <c r="E5" s="434" t="s">
        <v>6</v>
      </c>
      <c r="F5" s="435"/>
      <c r="G5" s="427"/>
      <c r="H5" s="426" t="s">
        <v>7</v>
      </c>
      <c r="I5" s="435"/>
      <c r="J5" s="430"/>
      <c r="K5" s="434" t="s">
        <v>8</v>
      </c>
      <c r="L5" s="435"/>
      <c r="M5" s="427"/>
      <c r="N5" s="428" t="s">
        <v>9</v>
      </c>
      <c r="O5" s="439"/>
      <c r="P5" s="429"/>
      <c r="Q5" s="415" t="s">
        <v>10</v>
      </c>
      <c r="R5" s="468" t="s">
        <v>11</v>
      </c>
      <c r="S5" s="434" t="s">
        <v>12</v>
      </c>
      <c r="T5" s="427"/>
      <c r="U5" s="428" t="s">
        <v>13</v>
      </c>
      <c r="V5" s="429"/>
      <c r="W5" s="475" t="s">
        <v>14</v>
      </c>
      <c r="X5" s="468" t="s">
        <v>15</v>
      </c>
    </row>
    <row r="6" spans="1:24" ht="15" customHeight="1">
      <c r="A6" s="414"/>
      <c r="B6" s="431"/>
      <c r="C6" s="416"/>
      <c r="D6" s="438"/>
      <c r="E6" s="135" t="s">
        <v>16</v>
      </c>
      <c r="F6" s="134" t="s">
        <v>17</v>
      </c>
      <c r="G6" s="136" t="s">
        <v>18</v>
      </c>
      <c r="H6" s="133" t="s">
        <v>16</v>
      </c>
      <c r="I6" s="134" t="s">
        <v>17</v>
      </c>
      <c r="J6" s="132" t="s">
        <v>18</v>
      </c>
      <c r="K6" s="135" t="s">
        <v>16</v>
      </c>
      <c r="L6" s="134" t="s">
        <v>17</v>
      </c>
      <c r="M6" s="136" t="s">
        <v>18</v>
      </c>
      <c r="N6" s="145" t="s">
        <v>19</v>
      </c>
      <c r="O6" s="141" t="s">
        <v>20</v>
      </c>
      <c r="P6" s="146" t="s">
        <v>21</v>
      </c>
      <c r="Q6" s="416"/>
      <c r="R6" s="438"/>
      <c r="S6" s="135" t="s">
        <v>22</v>
      </c>
      <c r="T6" s="136" t="s">
        <v>23</v>
      </c>
      <c r="U6" s="145" t="s">
        <v>24</v>
      </c>
      <c r="V6" s="146" t="s">
        <v>25</v>
      </c>
      <c r="W6" s="476"/>
      <c r="X6" s="438"/>
    </row>
    <row r="7" spans="1:24" ht="18.75" customHeight="1">
      <c r="A7" s="94" t="s">
        <v>299</v>
      </c>
      <c r="B7" s="52" t="s">
        <v>27</v>
      </c>
      <c r="C7" s="57">
        <v>21</v>
      </c>
      <c r="D7" s="234">
        <v>15.5</v>
      </c>
      <c r="E7" s="30">
        <f>53/21</f>
        <v>2.5238095238095237</v>
      </c>
      <c r="F7" s="6">
        <f>106/21</f>
        <v>5.0476190476190474</v>
      </c>
      <c r="G7" s="167">
        <v>50</v>
      </c>
      <c r="H7" s="26">
        <f>28/21</f>
        <v>1.3333333333333333</v>
      </c>
      <c r="I7" s="6">
        <f>68/21</f>
        <v>3.2380952380952381</v>
      </c>
      <c r="J7" s="177">
        <v>41.2</v>
      </c>
      <c r="K7" s="30">
        <f>44/21</f>
        <v>2.0952380952380953</v>
      </c>
      <c r="L7" s="6">
        <f>59/21</f>
        <v>2.8095238095238093</v>
      </c>
      <c r="M7" s="167">
        <v>74.599999999999994</v>
      </c>
      <c r="N7" s="49">
        <v>2.2999999999999998</v>
      </c>
      <c r="O7" s="7">
        <v>0.7</v>
      </c>
      <c r="P7" s="27">
        <v>3</v>
      </c>
      <c r="Q7" s="57">
        <v>5.6</v>
      </c>
      <c r="R7" s="20">
        <v>0</v>
      </c>
      <c r="S7" s="30">
        <v>1.7</v>
      </c>
      <c r="T7" s="23">
        <v>2.2000000000000002</v>
      </c>
      <c r="U7" s="49">
        <v>2.9</v>
      </c>
      <c r="V7" s="100" t="s">
        <v>28</v>
      </c>
      <c r="W7" s="57" t="s">
        <v>42</v>
      </c>
      <c r="X7" s="232">
        <v>15.5</v>
      </c>
    </row>
    <row r="8" spans="1:24" ht="18.75" customHeight="1">
      <c r="A8" s="127" t="s">
        <v>300</v>
      </c>
      <c r="B8" s="51" t="s">
        <v>27</v>
      </c>
      <c r="C8" s="56">
        <v>23</v>
      </c>
      <c r="D8" s="233">
        <v>14.8</v>
      </c>
      <c r="E8" s="29">
        <f>77/23</f>
        <v>3.347826086956522</v>
      </c>
      <c r="F8" s="12">
        <f>119/23</f>
        <v>5.1739130434782608</v>
      </c>
      <c r="G8" s="165">
        <v>64.7</v>
      </c>
      <c r="H8" s="25">
        <f>21/23</f>
        <v>0.91304347826086951</v>
      </c>
      <c r="I8" s="12">
        <f>65/23</f>
        <v>2.8260869565217392</v>
      </c>
      <c r="J8" s="174">
        <v>32.299999999999997</v>
      </c>
      <c r="K8" s="29">
        <f>46/23</f>
        <v>2</v>
      </c>
      <c r="L8" s="12">
        <f>59/23</f>
        <v>2.5652173913043477</v>
      </c>
      <c r="M8" s="216">
        <v>78</v>
      </c>
      <c r="N8" s="47">
        <v>3.1</v>
      </c>
      <c r="O8" s="11">
        <v>1.8</v>
      </c>
      <c r="P8" s="33">
        <v>5</v>
      </c>
      <c r="Q8" s="56">
        <v>1.5</v>
      </c>
      <c r="R8" s="19">
        <v>0.5</v>
      </c>
      <c r="S8" s="42">
        <v>1.3</v>
      </c>
      <c r="T8" s="22">
        <v>1.7</v>
      </c>
      <c r="U8" s="47">
        <v>1.8</v>
      </c>
      <c r="V8" s="99" t="s">
        <v>28</v>
      </c>
      <c r="W8" s="56" t="s">
        <v>150</v>
      </c>
      <c r="X8" s="233">
        <v>14.8</v>
      </c>
    </row>
    <row r="9" spans="1:24" ht="18.75" customHeight="1">
      <c r="A9" s="94" t="s">
        <v>301</v>
      </c>
      <c r="B9" s="52" t="s">
        <v>33</v>
      </c>
      <c r="C9" s="57">
        <v>17</v>
      </c>
      <c r="D9" s="234">
        <v>14.1</v>
      </c>
      <c r="E9" s="30">
        <f>63/17</f>
        <v>3.7058823529411766</v>
      </c>
      <c r="F9" s="6">
        <f>120/17</f>
        <v>7.0588235294117645</v>
      </c>
      <c r="G9" s="166">
        <v>52.5</v>
      </c>
      <c r="H9" s="26">
        <f>25/17</f>
        <v>1.4705882352941178</v>
      </c>
      <c r="I9" s="6">
        <f>50/17</f>
        <v>2.9411764705882355</v>
      </c>
      <c r="J9" s="177">
        <v>50</v>
      </c>
      <c r="K9" s="30">
        <f>38/17</f>
        <v>2.2352941176470589</v>
      </c>
      <c r="L9" s="6">
        <f>43/17</f>
        <v>2.5294117647058822</v>
      </c>
      <c r="M9" s="166">
        <v>88.4</v>
      </c>
      <c r="N9" s="49">
        <v>2.5</v>
      </c>
      <c r="O9" s="7">
        <v>0.9</v>
      </c>
      <c r="P9" s="27">
        <v>3.4</v>
      </c>
      <c r="Q9" s="57">
        <v>1.2</v>
      </c>
      <c r="R9" s="20">
        <v>0.3</v>
      </c>
      <c r="S9" s="43">
        <v>1.2</v>
      </c>
      <c r="T9" s="103">
        <v>0.6</v>
      </c>
      <c r="U9" s="49">
        <v>1.2</v>
      </c>
      <c r="V9" s="100" t="s">
        <v>28</v>
      </c>
      <c r="W9" s="57" t="s">
        <v>302</v>
      </c>
      <c r="X9" s="234">
        <v>13.7</v>
      </c>
    </row>
    <row r="10" spans="1:24" ht="18.75" customHeight="1">
      <c r="A10" s="127" t="s">
        <v>303</v>
      </c>
      <c r="B10" s="51" t="s">
        <v>33</v>
      </c>
      <c r="C10" s="56">
        <v>17</v>
      </c>
      <c r="D10" s="233">
        <v>11.5</v>
      </c>
      <c r="E10" s="29">
        <f>76/17</f>
        <v>4.4705882352941178</v>
      </c>
      <c r="F10" s="12">
        <f>142/17</f>
        <v>8.3529411764705888</v>
      </c>
      <c r="G10" s="165">
        <v>53.5</v>
      </c>
      <c r="H10" s="31">
        <v>0</v>
      </c>
      <c r="I10" s="12">
        <f>11/17</f>
        <v>0.6470588235294118</v>
      </c>
      <c r="J10" s="236">
        <v>0</v>
      </c>
      <c r="K10" s="29">
        <f>43/17</f>
        <v>2.5294117647058822</v>
      </c>
      <c r="L10" s="12">
        <f>60/17</f>
        <v>3.5294117647058822</v>
      </c>
      <c r="M10" s="216">
        <v>71.7</v>
      </c>
      <c r="N10" s="25">
        <v>3.8</v>
      </c>
      <c r="O10" s="11">
        <v>2.1</v>
      </c>
      <c r="P10" s="33">
        <v>5.9</v>
      </c>
      <c r="Q10" s="56">
        <v>0.9</v>
      </c>
      <c r="R10" s="147">
        <v>0.3</v>
      </c>
      <c r="S10" s="42">
        <v>1.8</v>
      </c>
      <c r="T10" s="22">
        <v>0.7</v>
      </c>
      <c r="U10" s="47">
        <v>2.1</v>
      </c>
      <c r="V10" s="99" t="s">
        <v>28</v>
      </c>
      <c r="W10" s="56" t="s">
        <v>304</v>
      </c>
      <c r="X10" s="233">
        <v>12.4</v>
      </c>
    </row>
    <row r="11" spans="1:24" ht="18.75" customHeight="1">
      <c r="A11" s="94" t="s">
        <v>305</v>
      </c>
      <c r="B11" s="52" t="s">
        <v>33</v>
      </c>
      <c r="C11" s="57">
        <v>18</v>
      </c>
      <c r="D11" s="232">
        <v>10.6</v>
      </c>
      <c r="E11" s="30">
        <f>67/18</f>
        <v>3.7222222222222223</v>
      </c>
      <c r="F11" s="6">
        <f>131/18</f>
        <v>7.2777777777777777</v>
      </c>
      <c r="G11" s="167">
        <v>51.1</v>
      </c>
      <c r="H11" s="32">
        <f>5/18</f>
        <v>0.27777777777777779</v>
      </c>
      <c r="I11" s="6">
        <f>13/18</f>
        <v>0.72222222222222221</v>
      </c>
      <c r="J11" s="177">
        <v>38.5</v>
      </c>
      <c r="K11" s="30">
        <f>41/18</f>
        <v>2.2777777777777777</v>
      </c>
      <c r="L11" s="6">
        <f>80/18</f>
        <v>4.4444444444444446</v>
      </c>
      <c r="M11" s="166">
        <v>51.3</v>
      </c>
      <c r="N11" s="49">
        <v>3.1</v>
      </c>
      <c r="O11" s="6">
        <v>2.4</v>
      </c>
      <c r="P11" s="27">
        <v>5.6</v>
      </c>
      <c r="Q11" s="250">
        <v>1</v>
      </c>
      <c r="R11" s="20">
        <v>0.7</v>
      </c>
      <c r="S11" s="30">
        <v>1.1000000000000001</v>
      </c>
      <c r="T11" s="23">
        <v>0.6</v>
      </c>
      <c r="U11" s="49">
        <v>2.8</v>
      </c>
      <c r="V11" s="100" t="s">
        <v>28</v>
      </c>
      <c r="W11" s="57" t="s">
        <v>81</v>
      </c>
      <c r="X11" s="232">
        <v>12.1</v>
      </c>
    </row>
    <row r="12" spans="1:24" ht="18.75" customHeight="1">
      <c r="A12" s="127" t="s">
        <v>306</v>
      </c>
      <c r="B12" s="51" t="s">
        <v>33</v>
      </c>
      <c r="C12" s="56">
        <v>9</v>
      </c>
      <c r="D12" s="235">
        <v>12.7</v>
      </c>
      <c r="E12" s="29">
        <f>31/9</f>
        <v>3.4444444444444446</v>
      </c>
      <c r="F12" s="12">
        <f>54/9</f>
        <v>6</v>
      </c>
      <c r="G12" s="216">
        <v>57.4</v>
      </c>
      <c r="H12" s="25">
        <f>12/9</f>
        <v>1.3333333333333333</v>
      </c>
      <c r="I12" s="12">
        <f>26/9</f>
        <v>2.8888888888888888</v>
      </c>
      <c r="J12" s="174">
        <v>46.2</v>
      </c>
      <c r="K12" s="29">
        <f>12/9</f>
        <v>1.3333333333333333</v>
      </c>
      <c r="L12" s="12">
        <f>21/9</f>
        <v>2.3333333333333335</v>
      </c>
      <c r="M12" s="165">
        <v>76.2</v>
      </c>
      <c r="N12" s="25">
        <v>1.6</v>
      </c>
      <c r="O12" s="11">
        <v>0.3</v>
      </c>
      <c r="P12" s="33">
        <v>1.9</v>
      </c>
      <c r="Q12" s="56">
        <v>2.9</v>
      </c>
      <c r="R12" s="19">
        <v>0.1</v>
      </c>
      <c r="S12" s="29">
        <v>2.8</v>
      </c>
      <c r="T12" s="102">
        <v>1.3</v>
      </c>
      <c r="U12" s="25">
        <v>2</v>
      </c>
      <c r="V12" s="99" t="s">
        <v>28</v>
      </c>
      <c r="W12" s="56" t="s">
        <v>307</v>
      </c>
      <c r="X12" s="233">
        <v>11.1</v>
      </c>
    </row>
    <row r="13" spans="1:24" ht="18.75" customHeight="1">
      <c r="A13" s="94" t="s">
        <v>308</v>
      </c>
      <c r="B13" s="52" t="s">
        <v>27</v>
      </c>
      <c r="C13" s="57">
        <v>23</v>
      </c>
      <c r="D13" s="234">
        <v>7.5</v>
      </c>
      <c r="E13" s="30">
        <f>36/23</f>
        <v>1.5652173913043479</v>
      </c>
      <c r="F13" s="6">
        <f>78/23</f>
        <v>3.3913043478260869</v>
      </c>
      <c r="G13" s="167">
        <v>46.2</v>
      </c>
      <c r="H13" s="26">
        <f>24/23</f>
        <v>1.0434782608695652</v>
      </c>
      <c r="I13" s="6">
        <f>55/23</f>
        <v>2.3913043478260869</v>
      </c>
      <c r="J13" s="177">
        <v>43.6</v>
      </c>
      <c r="K13" s="30">
        <f>33/23</f>
        <v>1.4347826086956521</v>
      </c>
      <c r="L13" s="6">
        <f>40/23</f>
        <v>1.7391304347826086</v>
      </c>
      <c r="M13" s="167">
        <v>82.5</v>
      </c>
      <c r="N13" s="26">
        <v>2.9</v>
      </c>
      <c r="O13" s="7">
        <v>0.9</v>
      </c>
      <c r="P13" s="27">
        <v>3.8</v>
      </c>
      <c r="Q13" s="57">
        <v>0.6</v>
      </c>
      <c r="R13" s="20">
        <v>0.4</v>
      </c>
      <c r="S13" s="43">
        <v>0.5</v>
      </c>
      <c r="T13" s="23">
        <v>0.2</v>
      </c>
      <c r="U13" s="26">
        <v>2.6</v>
      </c>
      <c r="V13" s="100" t="s">
        <v>28</v>
      </c>
      <c r="W13" s="57" t="s">
        <v>309</v>
      </c>
      <c r="X13" s="234">
        <v>7.5</v>
      </c>
    </row>
    <row r="14" spans="1:24" ht="18.75" customHeight="1">
      <c r="A14" s="127" t="s">
        <v>310</v>
      </c>
      <c r="B14" s="51" t="s">
        <v>27</v>
      </c>
      <c r="C14" s="56">
        <v>10</v>
      </c>
      <c r="D14" s="235">
        <v>4.5</v>
      </c>
      <c r="E14" s="29">
        <v>1.2</v>
      </c>
      <c r="F14" s="12">
        <v>2.4</v>
      </c>
      <c r="G14" s="216">
        <v>50</v>
      </c>
      <c r="H14" s="25">
        <v>0.5</v>
      </c>
      <c r="I14" s="12">
        <v>1.3</v>
      </c>
      <c r="J14" s="174">
        <v>38.5</v>
      </c>
      <c r="K14" s="29">
        <v>0.6</v>
      </c>
      <c r="L14" s="12">
        <v>1</v>
      </c>
      <c r="M14" s="216">
        <v>60</v>
      </c>
      <c r="N14" s="25">
        <v>2.8</v>
      </c>
      <c r="O14" s="11">
        <v>0.9</v>
      </c>
      <c r="P14" s="33">
        <v>3.7</v>
      </c>
      <c r="Q14" s="56">
        <v>1.7</v>
      </c>
      <c r="R14" s="19">
        <v>0.1</v>
      </c>
      <c r="S14" s="42">
        <v>1.1000000000000001</v>
      </c>
      <c r="T14" s="22">
        <v>0.6</v>
      </c>
      <c r="U14" s="25">
        <v>2</v>
      </c>
      <c r="V14" s="99" t="s">
        <v>28</v>
      </c>
      <c r="W14" s="56" t="s">
        <v>311</v>
      </c>
      <c r="X14" s="233">
        <v>6.3</v>
      </c>
    </row>
    <row r="15" spans="1:24" ht="18.75" customHeight="1">
      <c r="A15" s="94" t="s">
        <v>312</v>
      </c>
      <c r="B15" s="52" t="s">
        <v>27</v>
      </c>
      <c r="C15" s="57">
        <v>20</v>
      </c>
      <c r="D15" s="232">
        <v>5.0999999999999996</v>
      </c>
      <c r="E15" s="30">
        <v>1.8</v>
      </c>
      <c r="F15" s="6">
        <f>57/20</f>
        <v>2.85</v>
      </c>
      <c r="G15" s="166">
        <v>63.2</v>
      </c>
      <c r="H15" s="26">
        <f>3/20</f>
        <v>0.15</v>
      </c>
      <c r="I15" s="6">
        <f>9/20</f>
        <v>0.45</v>
      </c>
      <c r="J15" s="177">
        <v>33.299999999999997</v>
      </c>
      <c r="K15" s="30">
        <f>22/20</f>
        <v>1.1000000000000001</v>
      </c>
      <c r="L15" s="6">
        <f>32/20</f>
        <v>1.6</v>
      </c>
      <c r="M15" s="167">
        <v>68.8</v>
      </c>
      <c r="N15" s="49">
        <v>0.9</v>
      </c>
      <c r="O15" s="6">
        <v>1</v>
      </c>
      <c r="P15" s="27">
        <v>1.9</v>
      </c>
      <c r="Q15" s="57">
        <v>0.5</v>
      </c>
      <c r="R15" s="20">
        <v>0.2</v>
      </c>
      <c r="S15" s="43">
        <v>0.6</v>
      </c>
      <c r="T15" s="23">
        <v>0.3</v>
      </c>
      <c r="U15" s="49">
        <v>1.3</v>
      </c>
      <c r="V15" s="100" t="s">
        <v>28</v>
      </c>
      <c r="W15" s="57" t="s">
        <v>313</v>
      </c>
      <c r="X15" s="234">
        <v>5.0999999999999996</v>
      </c>
    </row>
    <row r="16" spans="1:24" ht="18.75" customHeight="1">
      <c r="A16" s="127" t="s">
        <v>314</v>
      </c>
      <c r="B16" s="51" t="s">
        <v>27</v>
      </c>
      <c r="C16" s="56">
        <v>15</v>
      </c>
      <c r="D16" s="235">
        <v>3.6</v>
      </c>
      <c r="E16" s="29">
        <f>20/15</f>
        <v>1.3333333333333333</v>
      </c>
      <c r="F16" s="12">
        <f>37/15</f>
        <v>2.4666666666666668</v>
      </c>
      <c r="G16" s="216">
        <v>54.1</v>
      </c>
      <c r="H16" s="31">
        <v>0</v>
      </c>
      <c r="I16" s="14">
        <v>0</v>
      </c>
      <c r="J16" s="236">
        <v>0</v>
      </c>
      <c r="K16" s="29">
        <f>14/15</f>
        <v>0.93333333333333335</v>
      </c>
      <c r="L16" s="12">
        <f>31/15</f>
        <v>2.0666666666666669</v>
      </c>
      <c r="M16" s="216">
        <v>45.2</v>
      </c>
      <c r="N16" s="25">
        <v>1.6</v>
      </c>
      <c r="O16" s="11">
        <v>0.9</v>
      </c>
      <c r="P16" s="33">
        <v>2.5</v>
      </c>
      <c r="Q16" s="56">
        <v>0.6</v>
      </c>
      <c r="R16" s="19">
        <v>0.1</v>
      </c>
      <c r="S16" s="29">
        <v>0.3</v>
      </c>
      <c r="T16" s="22">
        <v>0.7</v>
      </c>
      <c r="U16" s="25">
        <v>1.6</v>
      </c>
      <c r="V16" s="99" t="s">
        <v>28</v>
      </c>
      <c r="W16" s="56" t="s">
        <v>252</v>
      </c>
      <c r="X16" s="235">
        <v>4.5999999999999996</v>
      </c>
    </row>
    <row r="17" spans="1:35" ht="18.75" customHeight="1">
      <c r="A17" s="94" t="s">
        <v>315</v>
      </c>
      <c r="B17" s="52" t="s">
        <v>27</v>
      </c>
      <c r="C17" s="57">
        <v>22</v>
      </c>
      <c r="D17" s="232">
        <v>4</v>
      </c>
      <c r="E17" s="30">
        <f>21/22</f>
        <v>0.95454545454545459</v>
      </c>
      <c r="F17" s="6">
        <f>47/22</f>
        <v>2.1363636363636362</v>
      </c>
      <c r="G17" s="166">
        <v>44.7</v>
      </c>
      <c r="H17" s="26">
        <f>23/22</f>
        <v>1.0454545454545454</v>
      </c>
      <c r="I17" s="6">
        <f>78/22</f>
        <v>3.5454545454545454</v>
      </c>
      <c r="J17" s="177">
        <v>29.5</v>
      </c>
      <c r="K17" s="30">
        <f>15/22</f>
        <v>0.68181818181818177</v>
      </c>
      <c r="L17" s="6">
        <f>25/22</f>
        <v>1.1363636363636365</v>
      </c>
      <c r="M17" s="167">
        <v>60</v>
      </c>
      <c r="N17" s="49">
        <v>1.5</v>
      </c>
      <c r="O17" s="7">
        <v>0.2</v>
      </c>
      <c r="P17" s="27">
        <v>1.7</v>
      </c>
      <c r="Q17" s="250">
        <v>1.6</v>
      </c>
      <c r="R17" s="20">
        <v>0</v>
      </c>
      <c r="S17" s="30">
        <v>1</v>
      </c>
      <c r="T17" s="23">
        <v>0.9</v>
      </c>
      <c r="U17" s="49">
        <v>1.4</v>
      </c>
      <c r="V17" s="100" t="s">
        <v>28</v>
      </c>
      <c r="W17" s="57" t="s">
        <v>316</v>
      </c>
      <c r="X17" s="232">
        <v>4</v>
      </c>
    </row>
    <row r="18" spans="1:35" ht="18.75" customHeight="1">
      <c r="A18" s="127" t="s">
        <v>317</v>
      </c>
      <c r="B18" s="51" t="s">
        <v>27</v>
      </c>
      <c r="C18" s="56">
        <v>16</v>
      </c>
      <c r="D18" s="233">
        <v>2.8</v>
      </c>
      <c r="E18" s="29">
        <f>14/16</f>
        <v>0.875</v>
      </c>
      <c r="F18" s="12">
        <f>23/16</f>
        <v>1.4375</v>
      </c>
      <c r="G18" s="165">
        <v>60.9</v>
      </c>
      <c r="H18" s="25">
        <f>2/16</f>
        <v>0.125</v>
      </c>
      <c r="I18" s="12">
        <f>15/16</f>
        <v>0.9375</v>
      </c>
      <c r="J18" s="174">
        <v>13.3</v>
      </c>
      <c r="K18" s="29">
        <f>10/16</f>
        <v>0.625</v>
      </c>
      <c r="L18" s="12">
        <f>13/16</f>
        <v>0.8125</v>
      </c>
      <c r="M18" s="216">
        <v>76.900000000000006</v>
      </c>
      <c r="N18" s="25">
        <v>2.1</v>
      </c>
      <c r="O18" s="12">
        <v>0.9</v>
      </c>
      <c r="P18" s="33">
        <v>3.1</v>
      </c>
      <c r="Q18" s="56">
        <v>0.6</v>
      </c>
      <c r="R18" s="19">
        <v>0.1</v>
      </c>
      <c r="S18" s="42">
        <v>0.6</v>
      </c>
      <c r="T18" s="22">
        <v>0.4</v>
      </c>
      <c r="U18" s="25">
        <v>1.4</v>
      </c>
      <c r="V18" s="99" t="s">
        <v>28</v>
      </c>
      <c r="W18" s="56" t="s">
        <v>289</v>
      </c>
      <c r="X18" s="233">
        <v>3.6</v>
      </c>
    </row>
    <row r="19" spans="1:35" ht="18.75" customHeight="1">
      <c r="A19" s="94" t="s">
        <v>318</v>
      </c>
      <c r="B19" s="52" t="s">
        <v>27</v>
      </c>
      <c r="C19" s="57">
        <v>23</v>
      </c>
      <c r="D19" s="234">
        <v>3.5</v>
      </c>
      <c r="E19" s="30">
        <f>24/23</f>
        <v>1.0434782608695652</v>
      </c>
      <c r="F19" s="6">
        <f>47/23</f>
        <v>2.0434782608695654</v>
      </c>
      <c r="G19" s="167">
        <v>51.1</v>
      </c>
      <c r="H19" s="26">
        <f>1</f>
        <v>1</v>
      </c>
      <c r="I19" s="6">
        <f>69/23</f>
        <v>3</v>
      </c>
      <c r="J19" s="177">
        <v>33.299999999999997</v>
      </c>
      <c r="K19" s="30">
        <f>5/23</f>
        <v>0.21739130434782608</v>
      </c>
      <c r="L19" s="6">
        <f>7/23</f>
        <v>0.30434782608695654</v>
      </c>
      <c r="M19" s="167">
        <v>71.400000000000006</v>
      </c>
      <c r="N19" s="49">
        <v>0.9</v>
      </c>
      <c r="O19" s="7">
        <v>0.3</v>
      </c>
      <c r="P19" s="27">
        <v>1.2</v>
      </c>
      <c r="Q19" s="57">
        <v>0.6</v>
      </c>
      <c r="R19" s="316">
        <v>0</v>
      </c>
      <c r="S19" s="30">
        <v>0.5</v>
      </c>
      <c r="T19" s="23">
        <v>0.3</v>
      </c>
      <c r="U19" s="49">
        <v>0.9</v>
      </c>
      <c r="V19" s="100" t="s">
        <v>28</v>
      </c>
      <c r="W19" s="57" t="s">
        <v>319</v>
      </c>
      <c r="X19" s="232">
        <v>3.5</v>
      </c>
    </row>
    <row r="20" spans="1:35" ht="18.75" customHeight="1">
      <c r="A20" s="127" t="s">
        <v>320</v>
      </c>
      <c r="B20" s="51" t="s">
        <v>27</v>
      </c>
      <c r="C20" s="56">
        <v>19</v>
      </c>
      <c r="D20" s="233">
        <v>3.7</v>
      </c>
      <c r="E20" s="29">
        <f>16/19</f>
        <v>0.84210526315789469</v>
      </c>
      <c r="F20" s="12">
        <f>39/19</f>
        <v>2.0526315789473686</v>
      </c>
      <c r="G20" s="216">
        <v>41</v>
      </c>
      <c r="H20" s="25">
        <f>9/19</f>
        <v>0.47368421052631576</v>
      </c>
      <c r="I20" s="12">
        <f>46/19</f>
        <v>2.4210526315789473</v>
      </c>
      <c r="J20" s="174">
        <v>19.600000000000001</v>
      </c>
      <c r="K20" s="29">
        <f>11/19</f>
        <v>0.57894736842105265</v>
      </c>
      <c r="L20" s="12">
        <f>22/19</f>
        <v>1.1578947368421053</v>
      </c>
      <c r="M20" s="216">
        <v>50</v>
      </c>
      <c r="N20" s="47">
        <v>0.9</v>
      </c>
      <c r="O20" s="12">
        <v>0.6</v>
      </c>
      <c r="P20" s="33">
        <v>1.5</v>
      </c>
      <c r="Q20" s="249">
        <v>2.9</v>
      </c>
      <c r="R20" s="19">
        <v>0</v>
      </c>
      <c r="S20" s="29">
        <v>2</v>
      </c>
      <c r="T20" s="22">
        <v>0.8</v>
      </c>
      <c r="U20" s="25">
        <v>1.6</v>
      </c>
      <c r="V20" s="99" t="s">
        <v>28</v>
      </c>
      <c r="W20" s="56" t="s">
        <v>321</v>
      </c>
      <c r="X20" s="233">
        <v>3.3</v>
      </c>
    </row>
    <row r="21" spans="1:35" ht="18.75" customHeight="1">
      <c r="A21" s="109" t="s">
        <v>322</v>
      </c>
      <c r="B21" s="253" t="s">
        <v>284</v>
      </c>
      <c r="C21" s="117">
        <v>18</v>
      </c>
      <c r="D21" s="271">
        <v>1.3</v>
      </c>
      <c r="E21" s="254">
        <v>0.5</v>
      </c>
      <c r="F21" s="113">
        <f>19/18</f>
        <v>1.0555555555555556</v>
      </c>
      <c r="G21" s="330">
        <v>47.4</v>
      </c>
      <c r="H21" s="319">
        <v>0</v>
      </c>
      <c r="I21" s="320">
        <v>0</v>
      </c>
      <c r="J21" s="331">
        <v>0</v>
      </c>
      <c r="K21" s="254">
        <f>5/18</f>
        <v>0.27777777777777779</v>
      </c>
      <c r="L21" s="113">
        <f>11/18</f>
        <v>0.61111111111111116</v>
      </c>
      <c r="M21" s="330">
        <v>45.5</v>
      </c>
      <c r="N21" s="118">
        <v>1.2</v>
      </c>
      <c r="O21" s="113">
        <v>0.2</v>
      </c>
      <c r="P21" s="255">
        <v>1.4</v>
      </c>
      <c r="Q21" s="117">
        <v>0.3</v>
      </c>
      <c r="R21" s="111">
        <v>0</v>
      </c>
      <c r="S21" s="115">
        <v>0.4</v>
      </c>
      <c r="T21" s="110">
        <v>0.2</v>
      </c>
      <c r="U21" s="118">
        <v>1.7</v>
      </c>
      <c r="V21" s="120" t="s">
        <v>28</v>
      </c>
      <c r="W21" s="117" t="s">
        <v>55</v>
      </c>
      <c r="X21" s="271">
        <v>0.6</v>
      </c>
    </row>
    <row r="22" spans="1:35" s="2" customFormat="1" ht="18.75" customHeight="1">
      <c r="A22" s="448" t="s">
        <v>323</v>
      </c>
      <c r="B22" s="449"/>
      <c r="C22" s="321">
        <v>24</v>
      </c>
      <c r="D22" s="322">
        <v>83.4</v>
      </c>
      <c r="E22" s="258">
        <v>23.2</v>
      </c>
      <c r="F22" s="259">
        <v>43.5</v>
      </c>
      <c r="G22" s="260">
        <v>53.2</v>
      </c>
      <c r="H22" s="323">
        <v>7.5</v>
      </c>
      <c r="I22" s="259">
        <v>21.6</v>
      </c>
      <c r="J22" s="257">
        <v>34.700000000000003</v>
      </c>
      <c r="K22" s="258">
        <v>14.4</v>
      </c>
      <c r="L22" s="259">
        <v>21.4</v>
      </c>
      <c r="M22" s="260">
        <v>67.900000000000006</v>
      </c>
      <c r="N22" s="261">
        <v>23.3</v>
      </c>
      <c r="O22" s="262">
        <v>10.8</v>
      </c>
      <c r="P22" s="263">
        <v>34.1</v>
      </c>
      <c r="Q22" s="264">
        <v>16.7</v>
      </c>
      <c r="R22" s="265">
        <v>2.2999999999999998</v>
      </c>
      <c r="S22" s="266">
        <v>12.3</v>
      </c>
      <c r="T22" s="267">
        <v>8.8000000000000007</v>
      </c>
      <c r="U22" s="261">
        <v>20.6</v>
      </c>
      <c r="V22" s="324"/>
      <c r="W22" s="325"/>
      <c r="X22" s="326">
        <v>88.6</v>
      </c>
      <c r="Y22"/>
      <c r="Z22"/>
    </row>
    <row r="23" spans="1:35" s="2" customFormat="1" ht="18.75" customHeight="1">
      <c r="A23" s="493" t="s">
        <v>62</v>
      </c>
      <c r="B23" s="494"/>
      <c r="C23" s="327">
        <v>24</v>
      </c>
      <c r="D23" s="328">
        <v>77.099999999999994</v>
      </c>
      <c r="E23" s="495"/>
      <c r="F23" s="495"/>
      <c r="G23" s="327">
        <v>54.5</v>
      </c>
      <c r="H23" s="496"/>
      <c r="I23" s="496"/>
      <c r="J23" s="327">
        <v>30.2</v>
      </c>
      <c r="K23" s="496"/>
      <c r="L23" s="496"/>
      <c r="M23" s="496"/>
      <c r="N23" s="496"/>
      <c r="O23" s="496"/>
      <c r="P23" s="496"/>
      <c r="Q23" s="496"/>
      <c r="R23" s="496"/>
      <c r="S23" s="496"/>
      <c r="T23" s="496"/>
      <c r="U23" s="496"/>
      <c r="V23" s="496"/>
      <c r="W23" s="496"/>
      <c r="X23" s="497"/>
      <c r="Y23"/>
      <c r="Z23"/>
    </row>
    <row r="24" spans="1:35" s="2" customFormat="1" ht="18.75" customHeight="1">
      <c r="A24" s="456" t="s">
        <v>324</v>
      </c>
      <c r="B24" s="456"/>
      <c r="C24" s="456"/>
      <c r="D24" s="456"/>
      <c r="E24" s="456"/>
      <c r="F24" s="456"/>
      <c r="G24" s="456"/>
      <c r="H24" s="456"/>
      <c r="I24" s="456"/>
      <c r="J24" s="456"/>
      <c r="K24" s="456"/>
      <c r="L24" s="456"/>
      <c r="M24" s="456"/>
      <c r="N24" s="456"/>
      <c r="O24" s="456"/>
      <c r="P24" s="456"/>
      <c r="Q24" s="456"/>
      <c r="R24" s="456"/>
      <c r="S24" s="456"/>
      <c r="T24" s="456"/>
      <c r="U24" s="456"/>
      <c r="V24" s="456"/>
      <c r="W24" s="456"/>
      <c r="X24" s="456"/>
      <c r="Y24"/>
      <c r="Z24"/>
    </row>
    <row r="25" spans="1:35" s="2" customFormat="1" ht="18.75" customHeight="1">
      <c r="A25" s="453" t="s">
        <v>325</v>
      </c>
      <c r="B25" s="453"/>
      <c r="C25" s="453"/>
      <c r="D25" s="453"/>
      <c r="E25" s="453"/>
      <c r="F25" s="453"/>
      <c r="G25" s="453"/>
      <c r="H25" s="453"/>
      <c r="I25" s="453"/>
      <c r="J25" s="453"/>
      <c r="K25" s="453"/>
      <c r="L25" s="453"/>
      <c r="M25" s="453"/>
      <c r="N25" s="453"/>
      <c r="O25" s="453"/>
      <c r="P25" s="453"/>
      <c r="Q25" s="453"/>
      <c r="R25" s="453"/>
      <c r="S25" s="453"/>
      <c r="T25" s="453"/>
      <c r="U25" s="453"/>
      <c r="V25" s="453"/>
      <c r="W25" s="453"/>
      <c r="X25" s="453"/>
      <c r="Y25"/>
    </row>
    <row r="26" spans="1:35" s="2" customFormat="1" ht="18.75" customHeight="1">
      <c r="A26" s="454" t="s">
        <v>65</v>
      </c>
      <c r="B26" s="454"/>
      <c r="C26" s="454"/>
      <c r="D26" s="454"/>
      <c r="E26" s="454"/>
      <c r="F26" s="454"/>
      <c r="G26" s="454"/>
      <c r="H26" s="454"/>
      <c r="I26" s="454"/>
      <c r="J26" s="454"/>
      <c r="K26" s="454"/>
      <c r="L26" s="454"/>
      <c r="M26" s="454"/>
      <c r="N26" s="454"/>
      <c r="O26" s="454"/>
      <c r="P26" s="454"/>
      <c r="Q26" s="454"/>
      <c r="R26" s="454"/>
      <c r="S26" s="454"/>
      <c r="T26" s="454"/>
      <c r="U26" s="454"/>
      <c r="V26" s="454"/>
      <c r="W26" s="454"/>
      <c r="X26" s="454"/>
      <c r="Y26"/>
      <c r="AI26" s="3"/>
    </row>
    <row r="27" spans="1:35" ht="21" customHeight="1"/>
    <row r="28" spans="1:35" ht="21" customHeight="1"/>
    <row r="29" spans="1:35" ht="21" customHeight="1"/>
    <row r="30" spans="1:35" ht="21" customHeight="1"/>
    <row r="31" spans="1:35" ht="21" customHeight="1"/>
    <row r="32" spans="1:35" ht="21" customHeight="1"/>
    <row r="33" ht="21" customHeight="1"/>
    <row r="34" ht="21" customHeight="1"/>
    <row r="35" ht="21" customHeight="1"/>
  </sheetData>
  <mergeCells count="26">
    <mergeCell ref="B3:S4"/>
    <mergeCell ref="U5:V5"/>
    <mergeCell ref="B5:B6"/>
    <mergeCell ref="N5:P5"/>
    <mergeCell ref="A1:A4"/>
    <mergeCell ref="A5:A6"/>
    <mergeCell ref="B1:S2"/>
    <mergeCell ref="T1:X4"/>
    <mergeCell ref="C5:C6"/>
    <mergeCell ref="H5:J5"/>
    <mergeCell ref="X5:X6"/>
    <mergeCell ref="W5:W6"/>
    <mergeCell ref="E5:G5"/>
    <mergeCell ref="A24:X24"/>
    <mergeCell ref="A25:X25"/>
    <mergeCell ref="A26:X26"/>
    <mergeCell ref="D5:D6"/>
    <mergeCell ref="Q5:Q6"/>
    <mergeCell ref="R5:R6"/>
    <mergeCell ref="S5:T5"/>
    <mergeCell ref="K5:M5"/>
    <mergeCell ref="A22:B22"/>
    <mergeCell ref="A23:B23"/>
    <mergeCell ref="E23:F23"/>
    <mergeCell ref="H23:I23"/>
    <mergeCell ref="K23:X23"/>
  </mergeCells>
  <pageMargins left="0.25" right="0.25" top="0.75" bottom="0.75" header="0.3" footer="0.3"/>
  <pageSetup paperSize="5" orientation="landscape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5" tint="-0.499984740745262"/>
  </sheetPr>
  <dimension ref="A1:AI27"/>
  <sheetViews>
    <sheetView zoomScale="106" zoomScaleNormal="106" workbookViewId="0">
      <selection activeCell="B1" sqref="B1:S2"/>
    </sheetView>
  </sheetViews>
  <sheetFormatPr defaultColWidth="9.140625" defaultRowHeight="15"/>
  <cols>
    <col min="1" max="1" width="25.140625" customWidth="1"/>
    <col min="2" max="2" width="7" customWidth="1"/>
    <col min="3" max="3" width="5.7109375" style="1" customWidth="1"/>
    <col min="4" max="4" width="6.140625" style="1" customWidth="1"/>
    <col min="5" max="23" width="5.7109375" style="1" customWidth="1"/>
    <col min="24" max="24" width="6.140625" style="1" customWidth="1"/>
    <col min="25" max="255" width="11.42578125" customWidth="1"/>
  </cols>
  <sheetData>
    <row r="1" spans="1:24" ht="14.25" customHeight="1">
      <c r="A1" s="502"/>
      <c r="B1" s="422" t="s">
        <v>326</v>
      </c>
      <c r="C1" s="422"/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2"/>
      <c r="S1" s="422"/>
      <c r="T1" s="411"/>
      <c r="U1" s="411"/>
      <c r="V1" s="411"/>
      <c r="W1" s="411"/>
      <c r="X1" s="411"/>
    </row>
    <row r="2" spans="1:24" ht="14.25" customHeight="1">
      <c r="A2" s="502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11"/>
      <c r="U2" s="411"/>
      <c r="V2" s="411"/>
      <c r="W2" s="411"/>
      <c r="X2" s="411"/>
    </row>
    <row r="3" spans="1:24" ht="15" customHeight="1">
      <c r="A3" s="502"/>
      <c r="B3" s="501" t="s">
        <v>327</v>
      </c>
      <c r="C3" s="501"/>
      <c r="D3" s="501"/>
      <c r="E3" s="501"/>
      <c r="F3" s="501"/>
      <c r="G3" s="501"/>
      <c r="H3" s="501"/>
      <c r="I3" s="501"/>
      <c r="J3" s="501"/>
      <c r="K3" s="501"/>
      <c r="L3" s="501"/>
      <c r="M3" s="501"/>
      <c r="N3" s="501"/>
      <c r="O3" s="501"/>
      <c r="P3" s="501"/>
      <c r="Q3" s="501"/>
      <c r="R3" s="501"/>
      <c r="S3" s="501"/>
      <c r="T3" s="411"/>
      <c r="U3" s="411"/>
      <c r="V3" s="411"/>
      <c r="W3" s="411"/>
      <c r="X3" s="411"/>
    </row>
    <row r="4" spans="1:24" ht="15.75" customHeight="1">
      <c r="A4" s="502"/>
      <c r="B4" s="501"/>
      <c r="C4" s="501"/>
      <c r="D4" s="501"/>
      <c r="E4" s="501"/>
      <c r="F4" s="501"/>
      <c r="G4" s="501"/>
      <c r="H4" s="501"/>
      <c r="I4" s="501"/>
      <c r="J4" s="501"/>
      <c r="K4" s="501"/>
      <c r="L4" s="501"/>
      <c r="M4" s="501"/>
      <c r="N4" s="501"/>
      <c r="O4" s="501"/>
      <c r="P4" s="501"/>
      <c r="Q4" s="501"/>
      <c r="R4" s="501"/>
      <c r="S4" s="501"/>
      <c r="T4" s="411"/>
      <c r="U4" s="411"/>
      <c r="V4" s="411"/>
      <c r="W4" s="411"/>
      <c r="X4" s="411"/>
    </row>
    <row r="5" spans="1:24" ht="15" customHeight="1">
      <c r="A5" s="413" t="s">
        <v>2</v>
      </c>
      <c r="B5" s="430" t="s">
        <v>3</v>
      </c>
      <c r="C5" s="415" t="s">
        <v>4</v>
      </c>
      <c r="D5" s="468" t="s">
        <v>5</v>
      </c>
      <c r="E5" s="434" t="s">
        <v>6</v>
      </c>
      <c r="F5" s="435"/>
      <c r="G5" s="427"/>
      <c r="H5" s="426" t="s">
        <v>7</v>
      </c>
      <c r="I5" s="435"/>
      <c r="J5" s="430"/>
      <c r="K5" s="434" t="s">
        <v>8</v>
      </c>
      <c r="L5" s="435"/>
      <c r="M5" s="427"/>
      <c r="N5" s="428" t="s">
        <v>9</v>
      </c>
      <c r="O5" s="439"/>
      <c r="P5" s="429"/>
      <c r="Q5" s="415" t="s">
        <v>10</v>
      </c>
      <c r="R5" s="468" t="s">
        <v>11</v>
      </c>
      <c r="S5" s="434" t="s">
        <v>12</v>
      </c>
      <c r="T5" s="427"/>
      <c r="U5" s="428" t="s">
        <v>13</v>
      </c>
      <c r="V5" s="429"/>
      <c r="W5" s="475" t="s">
        <v>14</v>
      </c>
      <c r="X5" s="468" t="s">
        <v>15</v>
      </c>
    </row>
    <row r="6" spans="1:24" ht="15" customHeight="1">
      <c r="A6" s="414"/>
      <c r="B6" s="431"/>
      <c r="C6" s="416"/>
      <c r="D6" s="438"/>
      <c r="E6" s="135" t="s">
        <v>16</v>
      </c>
      <c r="F6" s="134" t="s">
        <v>17</v>
      </c>
      <c r="G6" s="136" t="s">
        <v>18</v>
      </c>
      <c r="H6" s="133" t="s">
        <v>16</v>
      </c>
      <c r="I6" s="134" t="s">
        <v>17</v>
      </c>
      <c r="J6" s="132" t="s">
        <v>18</v>
      </c>
      <c r="K6" s="135" t="s">
        <v>16</v>
      </c>
      <c r="L6" s="134" t="s">
        <v>17</v>
      </c>
      <c r="M6" s="136" t="s">
        <v>18</v>
      </c>
      <c r="N6" s="145" t="s">
        <v>19</v>
      </c>
      <c r="O6" s="141" t="s">
        <v>20</v>
      </c>
      <c r="P6" s="146" t="s">
        <v>21</v>
      </c>
      <c r="Q6" s="416"/>
      <c r="R6" s="438"/>
      <c r="S6" s="135" t="s">
        <v>22</v>
      </c>
      <c r="T6" s="136" t="s">
        <v>23</v>
      </c>
      <c r="U6" s="145" t="s">
        <v>24</v>
      </c>
      <c r="V6" s="146" t="s">
        <v>25</v>
      </c>
      <c r="W6" s="476"/>
      <c r="X6" s="438"/>
    </row>
    <row r="7" spans="1:24" ht="18.75" customHeight="1">
      <c r="A7" s="94" t="s">
        <v>328</v>
      </c>
      <c r="B7" s="52" t="s">
        <v>33</v>
      </c>
      <c r="C7" s="57">
        <v>5</v>
      </c>
      <c r="D7" s="232">
        <v>23.6</v>
      </c>
      <c r="E7" s="30">
        <f>32/5</f>
        <v>6.4</v>
      </c>
      <c r="F7" s="6">
        <f>53/5</f>
        <v>10.6</v>
      </c>
      <c r="G7" s="37">
        <v>60.4</v>
      </c>
      <c r="H7" s="26">
        <f>9/5</f>
        <v>1.8</v>
      </c>
      <c r="I7" s="6">
        <f>11/5</f>
        <v>2.2000000000000002</v>
      </c>
      <c r="J7" s="27">
        <v>81.8</v>
      </c>
      <c r="K7" s="30">
        <f>27/5</f>
        <v>5.4</v>
      </c>
      <c r="L7" s="6">
        <f>42/5</f>
        <v>8.4</v>
      </c>
      <c r="M7" s="36">
        <v>64.3</v>
      </c>
      <c r="N7" s="26">
        <v>9.4</v>
      </c>
      <c r="O7" s="7">
        <v>3.8</v>
      </c>
      <c r="P7" s="27">
        <v>9.4</v>
      </c>
      <c r="Q7" s="57">
        <v>3.4</v>
      </c>
      <c r="R7" s="20">
        <v>0.4</v>
      </c>
      <c r="S7" s="30">
        <v>1.8</v>
      </c>
      <c r="T7" s="103">
        <v>0.4</v>
      </c>
      <c r="U7" s="26">
        <v>1.6</v>
      </c>
      <c r="V7" s="100" t="s">
        <v>28</v>
      </c>
      <c r="W7" s="57" t="s">
        <v>172</v>
      </c>
      <c r="X7" s="234">
        <v>31.4</v>
      </c>
    </row>
    <row r="8" spans="1:24" ht="18.75" customHeight="1">
      <c r="A8" s="127" t="s">
        <v>329</v>
      </c>
      <c r="B8" s="51" t="s">
        <v>33</v>
      </c>
      <c r="C8" s="56">
        <v>13</v>
      </c>
      <c r="D8" s="233">
        <v>10.6</v>
      </c>
      <c r="E8" s="29">
        <f>44/13</f>
        <v>3.3846153846153846</v>
      </c>
      <c r="F8" s="12">
        <f>79/13</f>
        <v>6.0769230769230766</v>
      </c>
      <c r="G8" s="35">
        <v>55.7</v>
      </c>
      <c r="H8" s="25">
        <f>5/13</f>
        <v>0.38461538461538464</v>
      </c>
      <c r="I8" s="12">
        <f>18/13</f>
        <v>1.3846153846153846</v>
      </c>
      <c r="J8" s="33">
        <v>27.8</v>
      </c>
      <c r="K8" s="29">
        <f>35/13</f>
        <v>2.6923076923076925</v>
      </c>
      <c r="L8" s="12">
        <f>52/13</f>
        <v>4</v>
      </c>
      <c r="M8" s="40">
        <v>67.3</v>
      </c>
      <c r="N8" s="25">
        <v>9.1</v>
      </c>
      <c r="O8" s="12">
        <v>1.4</v>
      </c>
      <c r="P8" s="33">
        <v>10.5</v>
      </c>
      <c r="Q8" s="56">
        <v>2.2000000000000002</v>
      </c>
      <c r="R8" s="19">
        <v>3.6</v>
      </c>
      <c r="S8" s="42">
        <v>3.3</v>
      </c>
      <c r="T8" s="22">
        <v>0.7</v>
      </c>
      <c r="U8" s="47">
        <v>2.8</v>
      </c>
      <c r="V8" s="99" t="s">
        <v>28</v>
      </c>
      <c r="W8" s="56" t="s">
        <v>330</v>
      </c>
      <c r="X8" s="233">
        <v>20.5</v>
      </c>
    </row>
    <row r="9" spans="1:24" ht="18.75" customHeight="1">
      <c r="A9" s="94" t="s">
        <v>331</v>
      </c>
      <c r="B9" s="52" t="s">
        <v>33</v>
      </c>
      <c r="C9" s="57">
        <v>24</v>
      </c>
      <c r="D9" s="234">
        <v>17.600000000000001</v>
      </c>
      <c r="E9" s="30">
        <f>118/24</f>
        <v>4.916666666666667</v>
      </c>
      <c r="F9" s="6">
        <f>204/24</f>
        <v>8.5</v>
      </c>
      <c r="G9" s="36">
        <v>57.8</v>
      </c>
      <c r="H9" s="26">
        <f>34/24</f>
        <v>1.4166666666666667</v>
      </c>
      <c r="I9" s="6">
        <f>84/24</f>
        <v>3.5</v>
      </c>
      <c r="J9" s="27">
        <v>40.5</v>
      </c>
      <c r="K9" s="30">
        <f>85/24</f>
        <v>3.5416666666666665</v>
      </c>
      <c r="L9" s="6">
        <f>103/24</f>
        <v>4.291666666666667</v>
      </c>
      <c r="M9" s="36">
        <v>82.5</v>
      </c>
      <c r="N9" s="49">
        <v>5.0999999999999996</v>
      </c>
      <c r="O9" s="7">
        <v>1.5</v>
      </c>
      <c r="P9" s="27">
        <v>6.6</v>
      </c>
      <c r="Q9" s="250">
        <v>2</v>
      </c>
      <c r="R9" s="20">
        <v>0.5</v>
      </c>
      <c r="S9" s="43">
        <v>2.7</v>
      </c>
      <c r="T9" s="103">
        <v>1</v>
      </c>
      <c r="U9" s="49">
        <v>2.6</v>
      </c>
      <c r="V9" s="100" t="s">
        <v>28</v>
      </c>
      <c r="W9" s="57" t="s">
        <v>332</v>
      </c>
      <c r="X9" s="234">
        <v>19.600000000000001</v>
      </c>
    </row>
    <row r="10" spans="1:24" ht="18.75" customHeight="1">
      <c r="A10" s="127" t="s">
        <v>333</v>
      </c>
      <c r="B10" s="51" t="s">
        <v>33</v>
      </c>
      <c r="C10" s="56">
        <v>17</v>
      </c>
      <c r="D10" s="235">
        <v>11</v>
      </c>
      <c r="E10" s="29">
        <f>57/17</f>
        <v>3.3529411764705883</v>
      </c>
      <c r="F10" s="12">
        <f>83/17</f>
        <v>4.882352941176471</v>
      </c>
      <c r="G10" s="35">
        <v>68.7</v>
      </c>
      <c r="H10" s="25">
        <f>9/17</f>
        <v>0.52941176470588236</v>
      </c>
      <c r="I10" s="12">
        <f>27/17</f>
        <v>1.588235294117647</v>
      </c>
      <c r="J10" s="33">
        <v>33.299999999999997</v>
      </c>
      <c r="K10" s="29">
        <f>46/17</f>
        <v>2.7058823529411766</v>
      </c>
      <c r="L10" s="12">
        <f>61/17</f>
        <v>3.5882352941176472</v>
      </c>
      <c r="M10" s="40">
        <v>75.400000000000006</v>
      </c>
      <c r="N10" s="47">
        <v>2.6</v>
      </c>
      <c r="O10" s="11">
        <v>0.2</v>
      </c>
      <c r="P10" s="33">
        <v>2.8</v>
      </c>
      <c r="Q10" s="56">
        <v>5.0999999999999996</v>
      </c>
      <c r="R10" s="19">
        <v>0.1</v>
      </c>
      <c r="S10" s="42">
        <v>3.1</v>
      </c>
      <c r="T10" s="102">
        <v>1</v>
      </c>
      <c r="U10" s="25">
        <v>2</v>
      </c>
      <c r="V10" s="99" t="s">
        <v>28</v>
      </c>
      <c r="W10" s="56" t="s">
        <v>38</v>
      </c>
      <c r="X10" s="233">
        <v>14.5</v>
      </c>
    </row>
    <row r="11" spans="1:24" ht="18.75" customHeight="1">
      <c r="A11" s="94" t="s">
        <v>334</v>
      </c>
      <c r="B11" s="52" t="s">
        <v>27</v>
      </c>
      <c r="C11" s="57">
        <v>22</v>
      </c>
      <c r="D11" s="234">
        <v>9.1</v>
      </c>
      <c r="E11" s="30">
        <f>24/22</f>
        <v>1.0909090909090908</v>
      </c>
      <c r="F11" s="6">
        <f>49/22</f>
        <v>2.2272727272727271</v>
      </c>
      <c r="G11" s="37">
        <v>49</v>
      </c>
      <c r="H11" s="26">
        <f>34/22</f>
        <v>1.5454545454545454</v>
      </c>
      <c r="I11" s="6">
        <f>79/22</f>
        <v>3.5909090909090908</v>
      </c>
      <c r="J11" s="27">
        <v>43</v>
      </c>
      <c r="K11" s="30">
        <f>50/22</f>
        <v>2.2727272727272729</v>
      </c>
      <c r="L11" s="6">
        <f>70/22</f>
        <v>3.1818181818181817</v>
      </c>
      <c r="M11" s="37">
        <v>71.400000000000006</v>
      </c>
      <c r="N11" s="26">
        <v>2.2999999999999998</v>
      </c>
      <c r="O11" s="7">
        <v>0.8</v>
      </c>
      <c r="P11" s="27">
        <v>3.1</v>
      </c>
      <c r="Q11" s="57">
        <v>4.4000000000000004</v>
      </c>
      <c r="R11" s="20">
        <v>0</v>
      </c>
      <c r="S11" s="43">
        <v>2.7</v>
      </c>
      <c r="T11" s="23">
        <v>1.1000000000000001</v>
      </c>
      <c r="U11" s="26">
        <v>2.5</v>
      </c>
      <c r="V11" s="100" t="s">
        <v>28</v>
      </c>
      <c r="W11" s="57" t="s">
        <v>335</v>
      </c>
      <c r="X11" s="234">
        <v>11.5</v>
      </c>
    </row>
    <row r="12" spans="1:24" ht="18.75" customHeight="1">
      <c r="A12" s="127" t="s">
        <v>336</v>
      </c>
      <c r="B12" s="51" t="s">
        <v>33</v>
      </c>
      <c r="C12" s="56">
        <v>17</v>
      </c>
      <c r="D12" s="235">
        <v>12.9</v>
      </c>
      <c r="E12" s="29">
        <f>76/17</f>
        <v>4.4705882352941178</v>
      </c>
      <c r="F12" s="12">
        <f>132/17</f>
        <v>7.7647058823529411</v>
      </c>
      <c r="G12" s="40">
        <v>57.6</v>
      </c>
      <c r="H12" s="25">
        <f>16/17</f>
        <v>0.94117647058823528</v>
      </c>
      <c r="I12" s="12">
        <f>41/17</f>
        <v>2.4117647058823528</v>
      </c>
      <c r="J12" s="33">
        <v>39</v>
      </c>
      <c r="K12" s="29">
        <f>20/17</f>
        <v>1.1764705882352942</v>
      </c>
      <c r="L12" s="12">
        <f>35/17</f>
        <v>2.0588235294117645</v>
      </c>
      <c r="M12" s="35">
        <v>57.1</v>
      </c>
      <c r="N12" s="47">
        <v>2.2999999999999998</v>
      </c>
      <c r="O12" s="12">
        <v>1.9</v>
      </c>
      <c r="P12" s="33">
        <v>4.2</v>
      </c>
      <c r="Q12" s="56">
        <v>1.8</v>
      </c>
      <c r="R12" s="19">
        <v>0.2</v>
      </c>
      <c r="S12" s="29">
        <v>1.7</v>
      </c>
      <c r="T12" s="102">
        <v>0.8</v>
      </c>
      <c r="U12" s="25">
        <v>3.2</v>
      </c>
      <c r="V12" s="99" t="s">
        <v>28</v>
      </c>
      <c r="W12" s="56" t="s">
        <v>337</v>
      </c>
      <c r="X12" s="235">
        <v>10.9</v>
      </c>
    </row>
    <row r="13" spans="1:24" ht="18.75" customHeight="1">
      <c r="A13" s="94" t="s">
        <v>338</v>
      </c>
      <c r="B13" s="52" t="s">
        <v>59</v>
      </c>
      <c r="C13" s="57">
        <v>18</v>
      </c>
      <c r="D13" s="234">
        <v>10.3</v>
      </c>
      <c r="E13" s="30">
        <f>32/18</f>
        <v>1.7777777777777777</v>
      </c>
      <c r="F13" s="6">
        <f>55/18</f>
        <v>3.0555555555555554</v>
      </c>
      <c r="G13" s="37">
        <v>58.2</v>
      </c>
      <c r="H13" s="26">
        <f>30/18</f>
        <v>1.6666666666666667</v>
      </c>
      <c r="I13" s="6">
        <f>77/18</f>
        <v>4.2777777777777777</v>
      </c>
      <c r="J13" s="27">
        <v>39</v>
      </c>
      <c r="K13" s="30">
        <f>31/18</f>
        <v>1.7222222222222223</v>
      </c>
      <c r="L13" s="6">
        <f>45/18</f>
        <v>2.5</v>
      </c>
      <c r="M13" s="37">
        <v>68.900000000000006</v>
      </c>
      <c r="N13" s="49">
        <v>3.3</v>
      </c>
      <c r="O13" s="7">
        <v>0.9</v>
      </c>
      <c r="P13" s="27">
        <v>4.3</v>
      </c>
      <c r="Q13" s="57">
        <v>0.8</v>
      </c>
      <c r="R13" s="20">
        <v>0.1</v>
      </c>
      <c r="S13" s="30">
        <v>1.3</v>
      </c>
      <c r="T13" s="23">
        <v>0.6</v>
      </c>
      <c r="U13" s="26">
        <v>2</v>
      </c>
      <c r="V13" s="100" t="s">
        <v>28</v>
      </c>
      <c r="W13" s="57" t="s">
        <v>117</v>
      </c>
      <c r="X13" s="232">
        <v>9.8000000000000007</v>
      </c>
    </row>
    <row r="14" spans="1:24" ht="18.75" customHeight="1">
      <c r="A14" s="127" t="s">
        <v>339</v>
      </c>
      <c r="B14" s="51" t="s">
        <v>33</v>
      </c>
      <c r="C14" s="56">
        <v>17</v>
      </c>
      <c r="D14" s="233">
        <v>8.1</v>
      </c>
      <c r="E14" s="29">
        <f>10/17</f>
        <v>0.58823529411764708</v>
      </c>
      <c r="F14" s="12">
        <f>27/17</f>
        <v>1.588235294117647</v>
      </c>
      <c r="G14" s="40">
        <v>37</v>
      </c>
      <c r="H14" s="25">
        <f>34/17</f>
        <v>2</v>
      </c>
      <c r="I14" s="12">
        <f>87/17</f>
        <v>5.117647058823529</v>
      </c>
      <c r="J14" s="33">
        <v>39.1</v>
      </c>
      <c r="K14" s="29">
        <f>16/17</f>
        <v>0.94117647058823528</v>
      </c>
      <c r="L14" s="12">
        <f>24/17</f>
        <v>1.411764705882353</v>
      </c>
      <c r="M14" s="40">
        <v>66.7</v>
      </c>
      <c r="N14" s="47">
        <v>2.9</v>
      </c>
      <c r="O14" s="12">
        <v>0.2</v>
      </c>
      <c r="P14" s="33">
        <v>3.1</v>
      </c>
      <c r="Q14" s="249">
        <v>1.8</v>
      </c>
      <c r="R14" s="19">
        <v>0.1</v>
      </c>
      <c r="S14" s="42">
        <v>0.6</v>
      </c>
      <c r="T14" s="22">
        <v>0.6</v>
      </c>
      <c r="U14" s="25">
        <v>0.9</v>
      </c>
      <c r="V14" s="99" t="s">
        <v>28</v>
      </c>
      <c r="W14" s="56" t="s">
        <v>340</v>
      </c>
      <c r="X14" s="233">
        <v>8.5</v>
      </c>
    </row>
    <row r="15" spans="1:24" ht="18.75" customHeight="1">
      <c r="A15" s="94" t="s">
        <v>341</v>
      </c>
      <c r="B15" s="52" t="s">
        <v>33</v>
      </c>
      <c r="C15" s="57">
        <v>5</v>
      </c>
      <c r="D15" s="232">
        <v>7.6</v>
      </c>
      <c r="E15" s="30">
        <f>13/5</f>
        <v>2.6</v>
      </c>
      <c r="F15" s="6">
        <f>33/5</f>
        <v>6.6</v>
      </c>
      <c r="G15" s="36">
        <v>39.4</v>
      </c>
      <c r="H15" s="26">
        <f>3/5</f>
        <v>0.6</v>
      </c>
      <c r="I15" s="6">
        <f>13/5</f>
        <v>2.6</v>
      </c>
      <c r="J15" s="27">
        <v>23.1</v>
      </c>
      <c r="K15" s="30">
        <f>3/5</f>
        <v>0.6</v>
      </c>
      <c r="L15" s="6">
        <f>9/5</f>
        <v>1.8</v>
      </c>
      <c r="M15" s="37">
        <v>33.299999999999997</v>
      </c>
      <c r="N15" s="49">
        <v>7.4</v>
      </c>
      <c r="O15" s="7">
        <v>2.6</v>
      </c>
      <c r="P15" s="27">
        <v>7.4</v>
      </c>
      <c r="Q15" s="250">
        <v>1.8</v>
      </c>
      <c r="R15" s="20">
        <v>0.2</v>
      </c>
      <c r="S15" s="43">
        <v>2.8</v>
      </c>
      <c r="T15" s="23">
        <v>0.2</v>
      </c>
      <c r="U15" s="49">
        <v>2.4</v>
      </c>
      <c r="V15" s="100" t="s">
        <v>28</v>
      </c>
      <c r="W15" s="57" t="s">
        <v>342</v>
      </c>
      <c r="X15" s="234">
        <v>6.6</v>
      </c>
    </row>
    <row r="16" spans="1:24" ht="18.75" customHeight="1">
      <c r="A16" s="127" t="s">
        <v>343</v>
      </c>
      <c r="B16" s="51" t="s">
        <v>27</v>
      </c>
      <c r="C16" s="56">
        <v>16</v>
      </c>
      <c r="D16" s="235">
        <v>8</v>
      </c>
      <c r="E16" s="29">
        <f>29/16</f>
        <v>1.8125</v>
      </c>
      <c r="F16" s="12">
        <f>51/16</f>
        <v>3.1875</v>
      </c>
      <c r="G16" s="40">
        <v>56.9</v>
      </c>
      <c r="H16" s="25">
        <f>19/16</f>
        <v>1.1875</v>
      </c>
      <c r="I16" s="12">
        <f>47/16</f>
        <v>2.9375</v>
      </c>
      <c r="J16" s="33">
        <v>40.4</v>
      </c>
      <c r="K16" s="29">
        <f>13/16</f>
        <v>0.8125</v>
      </c>
      <c r="L16" s="12">
        <f>20/16</f>
        <v>1.25</v>
      </c>
      <c r="M16" s="40">
        <v>65</v>
      </c>
      <c r="N16" s="47">
        <v>1.7</v>
      </c>
      <c r="O16" s="12">
        <v>0.6</v>
      </c>
      <c r="P16" s="33">
        <v>2.2999999999999998</v>
      </c>
      <c r="Q16" s="56">
        <v>1.5</v>
      </c>
      <c r="R16" s="19">
        <v>0.1</v>
      </c>
      <c r="S16" s="42">
        <v>1.6</v>
      </c>
      <c r="T16" s="22">
        <v>1.1000000000000001</v>
      </c>
      <c r="U16" s="47">
        <v>2.7</v>
      </c>
      <c r="V16" s="99" t="s">
        <v>28</v>
      </c>
      <c r="W16" s="56" t="s">
        <v>344</v>
      </c>
      <c r="X16" s="233">
        <v>5.6</v>
      </c>
    </row>
    <row r="17" spans="1:35" ht="18.75" customHeight="1">
      <c r="A17" s="94" t="s">
        <v>345</v>
      </c>
      <c r="B17" s="52" t="s">
        <v>27</v>
      </c>
      <c r="C17" s="57">
        <v>12</v>
      </c>
      <c r="D17" s="232">
        <v>4.5999999999999996</v>
      </c>
      <c r="E17" s="30">
        <f>18/12</f>
        <v>1.5</v>
      </c>
      <c r="F17" s="6">
        <f>35/12</f>
        <v>2.9166666666666665</v>
      </c>
      <c r="G17" s="37">
        <v>51.4</v>
      </c>
      <c r="H17" s="26">
        <f>4/12</f>
        <v>0.33333333333333331</v>
      </c>
      <c r="I17" s="6">
        <f>14/12</f>
        <v>1.1666666666666667</v>
      </c>
      <c r="J17" s="27">
        <v>28.6</v>
      </c>
      <c r="K17" s="30">
        <f>7/12</f>
        <v>0.58333333333333337</v>
      </c>
      <c r="L17" s="6">
        <f>11/12</f>
        <v>0.91666666666666663</v>
      </c>
      <c r="M17" s="37">
        <v>63.6</v>
      </c>
      <c r="N17" s="26">
        <v>0.8</v>
      </c>
      <c r="O17" s="7">
        <v>0.4</v>
      </c>
      <c r="P17" s="27">
        <v>1.2</v>
      </c>
      <c r="Q17" s="57">
        <v>0.5</v>
      </c>
      <c r="R17" s="20">
        <v>0.1</v>
      </c>
      <c r="S17" s="30">
        <v>0.8</v>
      </c>
      <c r="T17" s="103">
        <v>1.5</v>
      </c>
      <c r="U17" s="26">
        <v>1.8</v>
      </c>
      <c r="V17" s="100" t="s">
        <v>28</v>
      </c>
      <c r="W17" s="57" t="s">
        <v>53</v>
      </c>
      <c r="X17" s="232">
        <v>3.7</v>
      </c>
    </row>
    <row r="18" spans="1:35" ht="18.75" customHeight="1">
      <c r="A18" s="127" t="s">
        <v>346</v>
      </c>
      <c r="B18" s="51" t="s">
        <v>27</v>
      </c>
      <c r="C18" s="56">
        <v>15</v>
      </c>
      <c r="D18" s="235">
        <v>2</v>
      </c>
      <c r="E18" s="29">
        <f>13/15</f>
        <v>0.8666666666666667</v>
      </c>
      <c r="F18" s="12">
        <f>27/15</f>
        <v>1.8</v>
      </c>
      <c r="G18" s="35">
        <v>48.1</v>
      </c>
      <c r="H18" s="31">
        <v>0</v>
      </c>
      <c r="I18" s="14">
        <v>0</v>
      </c>
      <c r="J18" s="143">
        <v>0</v>
      </c>
      <c r="K18" s="29">
        <f>4/15</f>
        <v>0.26666666666666666</v>
      </c>
      <c r="L18" s="12">
        <f>8/15</f>
        <v>0.53333333333333333</v>
      </c>
      <c r="M18" s="40">
        <v>50</v>
      </c>
      <c r="N18" s="47">
        <v>1.1000000000000001</v>
      </c>
      <c r="O18" s="11">
        <v>0.5</v>
      </c>
      <c r="P18" s="33">
        <v>1.6</v>
      </c>
      <c r="Q18" s="56">
        <v>0.1</v>
      </c>
      <c r="R18" s="19">
        <v>0</v>
      </c>
      <c r="S18" s="42">
        <v>0.2</v>
      </c>
      <c r="T18" s="22">
        <v>0.4</v>
      </c>
      <c r="U18" s="47">
        <v>0.8</v>
      </c>
      <c r="V18" s="99" t="s">
        <v>28</v>
      </c>
      <c r="W18" s="56" t="s">
        <v>130</v>
      </c>
      <c r="X18" s="233">
        <v>2.2999999999999998</v>
      </c>
    </row>
    <row r="19" spans="1:35" ht="18.75" customHeight="1">
      <c r="A19" s="94" t="s">
        <v>347</v>
      </c>
      <c r="B19" s="52" t="s">
        <v>162</v>
      </c>
      <c r="C19" s="57">
        <v>21</v>
      </c>
      <c r="D19" s="234">
        <v>2.1</v>
      </c>
      <c r="E19" s="30">
        <f>5/21</f>
        <v>0.23809523809523808</v>
      </c>
      <c r="F19" s="6">
        <v>1</v>
      </c>
      <c r="G19" s="37">
        <v>23.8</v>
      </c>
      <c r="H19" s="26">
        <f>2/21</f>
        <v>9.5238095238095233E-2</v>
      </c>
      <c r="I19" s="6">
        <f>16/21</f>
        <v>0.76190476190476186</v>
      </c>
      <c r="J19" s="27">
        <v>12.5</v>
      </c>
      <c r="K19" s="30">
        <f>28/21</f>
        <v>1.3333333333333333</v>
      </c>
      <c r="L19" s="6">
        <f>34/21</f>
        <v>1.6190476190476191</v>
      </c>
      <c r="M19" s="37">
        <v>82.4</v>
      </c>
      <c r="N19" s="49">
        <v>0.7</v>
      </c>
      <c r="O19" s="7">
        <v>0.4</v>
      </c>
      <c r="P19" s="27">
        <v>1.1000000000000001</v>
      </c>
      <c r="Q19" s="57">
        <v>1.6</v>
      </c>
      <c r="R19" s="316">
        <v>0</v>
      </c>
      <c r="S19" s="30">
        <v>1.2</v>
      </c>
      <c r="T19" s="103">
        <v>1</v>
      </c>
      <c r="U19" s="49">
        <v>1.9</v>
      </c>
      <c r="V19" s="100" t="s">
        <v>28</v>
      </c>
      <c r="W19" s="57" t="s">
        <v>91</v>
      </c>
      <c r="X19" s="232">
        <v>2</v>
      </c>
    </row>
    <row r="20" spans="1:35" ht="18.75" customHeight="1">
      <c r="A20" s="127" t="s">
        <v>348</v>
      </c>
      <c r="B20" s="51" t="s">
        <v>27</v>
      </c>
      <c r="C20" s="56">
        <v>10</v>
      </c>
      <c r="D20" s="235">
        <v>3.3</v>
      </c>
      <c r="E20" s="29">
        <v>1.2</v>
      </c>
      <c r="F20" s="12">
        <v>3</v>
      </c>
      <c r="G20" s="40">
        <v>40</v>
      </c>
      <c r="H20" s="31">
        <v>0</v>
      </c>
      <c r="I20" s="12">
        <v>0.6</v>
      </c>
      <c r="J20" s="143">
        <v>0</v>
      </c>
      <c r="K20" s="29">
        <v>0.9</v>
      </c>
      <c r="L20" s="12">
        <v>1.5</v>
      </c>
      <c r="M20" s="40">
        <v>60</v>
      </c>
      <c r="N20" s="25">
        <v>0.6</v>
      </c>
      <c r="O20" s="11">
        <v>0.2</v>
      </c>
      <c r="P20" s="33">
        <v>0.8</v>
      </c>
      <c r="Q20" s="56">
        <v>0.2</v>
      </c>
      <c r="R20" s="19">
        <v>0.1</v>
      </c>
      <c r="S20" s="42">
        <v>0.4</v>
      </c>
      <c r="T20" s="22">
        <v>0.3</v>
      </c>
      <c r="U20" s="47">
        <v>1.1000000000000001</v>
      </c>
      <c r="V20" s="99" t="s">
        <v>28</v>
      </c>
      <c r="W20" s="56" t="s">
        <v>199</v>
      </c>
      <c r="X20" s="233">
        <v>1.1000000000000001</v>
      </c>
    </row>
    <row r="21" spans="1:35" ht="18.75" customHeight="1">
      <c r="A21" s="94" t="s">
        <v>349</v>
      </c>
      <c r="B21" s="52" t="s">
        <v>27</v>
      </c>
      <c r="C21" s="57">
        <v>16</v>
      </c>
      <c r="D21" s="234">
        <v>2.2999999999999998</v>
      </c>
      <c r="E21" s="30">
        <f>17/16</f>
        <v>1.0625</v>
      </c>
      <c r="F21" s="6">
        <f>29/16</f>
        <v>1.8125</v>
      </c>
      <c r="G21" s="36">
        <v>58.6</v>
      </c>
      <c r="H21" s="32">
        <v>0</v>
      </c>
      <c r="I21" s="8">
        <v>0</v>
      </c>
      <c r="J21" s="144">
        <v>0</v>
      </c>
      <c r="K21" s="30">
        <f>3/16</f>
        <v>0.1875</v>
      </c>
      <c r="L21" s="6">
        <f>6/16</f>
        <v>0.375</v>
      </c>
      <c r="M21" s="37">
        <v>50</v>
      </c>
      <c r="N21" s="26">
        <v>0.7</v>
      </c>
      <c r="O21" s="7">
        <v>0.3</v>
      </c>
      <c r="P21" s="27">
        <v>0.9</v>
      </c>
      <c r="Q21" s="57">
        <v>0</v>
      </c>
      <c r="R21" s="44">
        <v>0.1</v>
      </c>
      <c r="S21" s="43">
        <v>0.6</v>
      </c>
      <c r="T21" s="23">
        <v>0.1</v>
      </c>
      <c r="U21" s="49">
        <v>0.9</v>
      </c>
      <c r="V21" s="100" t="s">
        <v>28</v>
      </c>
      <c r="W21" s="57" t="s">
        <v>350</v>
      </c>
      <c r="X21" s="234">
        <v>1.1000000000000001</v>
      </c>
    </row>
    <row r="22" spans="1:35" ht="18.75" customHeight="1">
      <c r="A22" s="128" t="s">
        <v>351</v>
      </c>
      <c r="B22" s="75" t="s">
        <v>27</v>
      </c>
      <c r="C22" s="73">
        <v>20</v>
      </c>
      <c r="D22" s="304">
        <v>1.6</v>
      </c>
      <c r="E22" s="241">
        <f>12/20</f>
        <v>0.6</v>
      </c>
      <c r="F22" s="69">
        <f>25/20</f>
        <v>1.25</v>
      </c>
      <c r="G22" s="226">
        <v>48</v>
      </c>
      <c r="H22" s="68">
        <f>2/20</f>
        <v>0.1</v>
      </c>
      <c r="I22" s="69">
        <f>14/20</f>
        <v>0.7</v>
      </c>
      <c r="J22" s="242">
        <v>14.3</v>
      </c>
      <c r="K22" s="241">
        <f>2/20</f>
        <v>0.1</v>
      </c>
      <c r="L22" s="69">
        <f>2/20</f>
        <v>0.1</v>
      </c>
      <c r="M22" s="226">
        <v>28.6</v>
      </c>
      <c r="N22" s="74">
        <v>0.8</v>
      </c>
      <c r="O22" s="72">
        <v>0.3</v>
      </c>
      <c r="P22" s="242">
        <v>1.1000000000000001</v>
      </c>
      <c r="Q22" s="332">
        <v>0.7</v>
      </c>
      <c r="R22" s="67">
        <v>0.1</v>
      </c>
      <c r="S22" s="71">
        <v>0.6</v>
      </c>
      <c r="T22" s="66">
        <v>0.3</v>
      </c>
      <c r="U22" s="74">
        <v>1.1000000000000001</v>
      </c>
      <c r="V22" s="243" t="s">
        <v>28</v>
      </c>
      <c r="W22" s="73" t="s">
        <v>352</v>
      </c>
      <c r="X22" s="240">
        <v>0.7</v>
      </c>
    </row>
    <row r="23" spans="1:35" s="2" customFormat="1" ht="18.75" customHeight="1">
      <c r="A23" s="448" t="s">
        <v>353</v>
      </c>
      <c r="B23" s="449"/>
      <c r="C23" s="88">
        <v>25</v>
      </c>
      <c r="D23" s="244">
        <v>82.8</v>
      </c>
      <c r="E23" s="230">
        <v>21.1</v>
      </c>
      <c r="F23" s="81">
        <v>38.700000000000003</v>
      </c>
      <c r="G23" s="82">
        <v>54.6</v>
      </c>
      <c r="H23" s="80">
        <v>8.1999999999999993</v>
      </c>
      <c r="I23" s="81">
        <v>22.4</v>
      </c>
      <c r="J23" s="83">
        <v>36.700000000000003</v>
      </c>
      <c r="K23" s="230">
        <v>15.8</v>
      </c>
      <c r="L23" s="81">
        <v>22.6</v>
      </c>
      <c r="M23" s="82">
        <v>70.099999999999994</v>
      </c>
      <c r="N23" s="89">
        <v>26.4</v>
      </c>
      <c r="O23" s="85">
        <v>8.1</v>
      </c>
      <c r="P23" s="245">
        <v>34.5</v>
      </c>
      <c r="Q23" s="246">
        <v>18.7</v>
      </c>
      <c r="R23" s="78">
        <v>3.1</v>
      </c>
      <c r="S23" s="84">
        <v>16.8</v>
      </c>
      <c r="T23" s="122">
        <v>7.7</v>
      </c>
      <c r="U23" s="89">
        <v>20.100000000000001</v>
      </c>
      <c r="V23" s="270"/>
      <c r="W23" s="125"/>
      <c r="X23" s="126">
        <v>89.3</v>
      </c>
      <c r="Y23"/>
      <c r="Z23"/>
    </row>
    <row r="24" spans="1:35" s="2" customFormat="1" ht="18.75" customHeight="1">
      <c r="A24" s="440" t="s">
        <v>62</v>
      </c>
      <c r="B24" s="478"/>
      <c r="C24" s="163">
        <v>25</v>
      </c>
      <c r="D24" s="277">
        <v>80.900000000000006</v>
      </c>
      <c r="E24" s="479"/>
      <c r="F24" s="447"/>
      <c r="G24" s="181">
        <v>50</v>
      </c>
      <c r="H24" s="443"/>
      <c r="I24" s="443"/>
      <c r="J24" s="180">
        <v>30.4</v>
      </c>
      <c r="K24" s="443"/>
      <c r="L24" s="443"/>
      <c r="M24" s="443"/>
      <c r="N24" s="443"/>
      <c r="O24" s="443"/>
      <c r="P24" s="443"/>
      <c r="Q24" s="443"/>
      <c r="R24" s="443"/>
      <c r="S24" s="443"/>
      <c r="T24" s="443"/>
      <c r="U24" s="443"/>
      <c r="V24" s="443"/>
      <c r="W24" s="443"/>
      <c r="X24" s="444"/>
      <c r="Y24"/>
      <c r="Z24"/>
    </row>
    <row r="25" spans="1:35" s="2" customFormat="1" ht="18.75" customHeight="1">
      <c r="A25" s="437" t="s">
        <v>354</v>
      </c>
      <c r="B25" s="437"/>
      <c r="C25" s="437"/>
      <c r="D25" s="437"/>
      <c r="E25" s="437"/>
      <c r="F25" s="437"/>
      <c r="G25" s="437"/>
      <c r="H25" s="437"/>
      <c r="I25" s="437"/>
      <c r="J25" s="437"/>
      <c r="K25" s="437"/>
      <c r="L25" s="437"/>
      <c r="M25" s="437"/>
      <c r="N25" s="437"/>
      <c r="O25" s="437"/>
      <c r="P25" s="437"/>
      <c r="Q25" s="437"/>
      <c r="R25" s="437"/>
      <c r="S25" s="437"/>
      <c r="T25" s="437"/>
      <c r="U25" s="437"/>
      <c r="V25" s="437"/>
      <c r="W25" s="437"/>
      <c r="X25" s="437"/>
      <c r="Y25"/>
      <c r="Z25"/>
    </row>
    <row r="26" spans="1:35" s="2" customFormat="1" ht="18.75" customHeight="1">
      <c r="A26" s="432" t="s">
        <v>355</v>
      </c>
      <c r="B26" s="432"/>
      <c r="C26" s="432"/>
      <c r="D26" s="432"/>
      <c r="E26" s="432"/>
      <c r="F26" s="432"/>
      <c r="G26" s="432"/>
      <c r="H26" s="432"/>
      <c r="I26" s="432"/>
      <c r="J26" s="432"/>
      <c r="K26" s="432"/>
      <c r="L26" s="432"/>
      <c r="M26" s="432"/>
      <c r="N26" s="432"/>
      <c r="O26" s="432"/>
      <c r="P26" s="432"/>
      <c r="Q26" s="432"/>
      <c r="R26" s="432"/>
      <c r="S26" s="432"/>
      <c r="T26" s="432"/>
      <c r="U26" s="432"/>
      <c r="V26" s="432"/>
      <c r="W26" s="432"/>
      <c r="X26" s="432"/>
      <c r="Y26"/>
    </row>
    <row r="27" spans="1:35" s="2" customFormat="1" ht="18.75" customHeight="1">
      <c r="A27" s="433" t="s">
        <v>65</v>
      </c>
      <c r="B27" s="433"/>
      <c r="C27" s="433"/>
      <c r="D27" s="433"/>
      <c r="E27" s="433"/>
      <c r="F27" s="433"/>
      <c r="G27" s="433"/>
      <c r="H27" s="433"/>
      <c r="I27" s="433"/>
      <c r="J27" s="433"/>
      <c r="K27" s="433"/>
      <c r="L27" s="433"/>
      <c r="M27" s="433"/>
      <c r="N27" s="433"/>
      <c r="O27" s="433"/>
      <c r="P27" s="433"/>
      <c r="Q27" s="433"/>
      <c r="R27" s="433"/>
      <c r="S27" s="433"/>
      <c r="T27" s="433"/>
      <c r="U27" s="433"/>
      <c r="V27" s="433"/>
      <c r="W27" s="433"/>
      <c r="X27" s="433"/>
      <c r="Y27"/>
      <c r="AI27" s="3"/>
    </row>
  </sheetData>
  <mergeCells count="26">
    <mergeCell ref="A1:A4"/>
    <mergeCell ref="R5:R6"/>
    <mergeCell ref="K5:M5"/>
    <mergeCell ref="N5:P5"/>
    <mergeCell ref="Q5:Q6"/>
    <mergeCell ref="B1:S2"/>
    <mergeCell ref="A5:A6"/>
    <mergeCell ref="T1:X4"/>
    <mergeCell ref="B3:S4"/>
    <mergeCell ref="S5:T5"/>
    <mergeCell ref="B5:B6"/>
    <mergeCell ref="W5:W6"/>
    <mergeCell ref="X5:X6"/>
    <mergeCell ref="E5:G5"/>
    <mergeCell ref="H5:J5"/>
    <mergeCell ref="C5:C6"/>
    <mergeCell ref="D5:D6"/>
    <mergeCell ref="U5:V5"/>
    <mergeCell ref="A23:B23"/>
    <mergeCell ref="A24:B24"/>
    <mergeCell ref="A25:X25"/>
    <mergeCell ref="A26:X26"/>
    <mergeCell ref="A27:X27"/>
    <mergeCell ref="E24:F24"/>
    <mergeCell ref="H24:I24"/>
    <mergeCell ref="K24:X24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2060"/>
  </sheetPr>
  <dimension ref="A1:AI28"/>
  <sheetViews>
    <sheetView zoomScale="106" zoomScaleNormal="106" workbookViewId="0">
      <selection activeCell="B1" sqref="B1:T2"/>
    </sheetView>
  </sheetViews>
  <sheetFormatPr defaultColWidth="9.140625" defaultRowHeight="15"/>
  <cols>
    <col min="1" max="1" width="23.28515625" customWidth="1"/>
    <col min="2" max="2" width="6.42578125" customWidth="1"/>
    <col min="3" max="3" width="5.7109375" style="1" customWidth="1"/>
    <col min="4" max="4" width="6.140625" style="1" customWidth="1"/>
    <col min="5" max="23" width="5.7109375" style="1" customWidth="1"/>
    <col min="24" max="24" width="6.140625" style="1" customWidth="1"/>
    <col min="25" max="255" width="11.42578125" customWidth="1"/>
  </cols>
  <sheetData>
    <row r="1" spans="1:24" ht="16.5" customHeight="1">
      <c r="A1" s="503"/>
      <c r="B1" s="421" t="s">
        <v>356</v>
      </c>
      <c r="C1" s="421"/>
      <c r="D1" s="421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1"/>
      <c r="Q1" s="421"/>
      <c r="R1" s="421"/>
      <c r="S1" s="421"/>
      <c r="T1" s="421"/>
      <c r="U1" s="5"/>
      <c r="V1" s="4"/>
      <c r="W1" s="4"/>
      <c r="X1" s="4"/>
    </row>
    <row r="2" spans="1:24" ht="17.25" customHeight="1">
      <c r="A2" s="503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22"/>
      <c r="U2" s="409"/>
      <c r="V2" s="409"/>
      <c r="W2" s="409"/>
      <c r="X2" s="410"/>
    </row>
    <row r="3" spans="1:24" ht="15" customHeight="1">
      <c r="A3" s="503"/>
      <c r="B3" s="510" t="s">
        <v>357</v>
      </c>
      <c r="C3" s="510"/>
      <c r="D3" s="510"/>
      <c r="E3" s="510"/>
      <c r="F3" s="510"/>
      <c r="G3" s="510"/>
      <c r="H3" s="510"/>
      <c r="I3" s="510"/>
      <c r="J3" s="510"/>
      <c r="K3" s="510"/>
      <c r="L3" s="510"/>
      <c r="M3" s="510"/>
      <c r="N3" s="510"/>
      <c r="O3" s="510"/>
      <c r="P3" s="510"/>
      <c r="Q3" s="510"/>
      <c r="R3" s="510"/>
      <c r="S3" s="510"/>
      <c r="T3" s="511"/>
      <c r="U3" s="509"/>
      <c r="V3" s="411"/>
      <c r="W3" s="411"/>
      <c r="X3" s="412"/>
    </row>
    <row r="4" spans="1:24" ht="12.75" customHeight="1">
      <c r="A4" s="503"/>
      <c r="B4" s="510"/>
      <c r="C4" s="510"/>
      <c r="D4" s="510"/>
      <c r="E4" s="510"/>
      <c r="F4" s="510"/>
      <c r="G4" s="510"/>
      <c r="H4" s="510"/>
      <c r="I4" s="510"/>
      <c r="J4" s="510"/>
      <c r="K4" s="510"/>
      <c r="L4" s="510"/>
      <c r="M4" s="510"/>
      <c r="N4" s="510"/>
      <c r="O4" s="510"/>
      <c r="P4" s="510"/>
      <c r="Q4" s="510"/>
      <c r="R4" s="510"/>
      <c r="S4" s="510"/>
      <c r="T4" s="511"/>
      <c r="U4" s="509"/>
      <c r="V4" s="411"/>
      <c r="W4" s="411"/>
      <c r="X4" s="412"/>
    </row>
    <row r="5" spans="1:24" ht="15" customHeight="1">
      <c r="A5" s="413" t="s">
        <v>2</v>
      </c>
      <c r="B5" s="430" t="s">
        <v>3</v>
      </c>
      <c r="C5" s="415" t="s">
        <v>4</v>
      </c>
      <c r="D5" s="468" t="s">
        <v>5</v>
      </c>
      <c r="E5" s="434" t="s">
        <v>6</v>
      </c>
      <c r="F5" s="435"/>
      <c r="G5" s="427"/>
      <c r="H5" s="426" t="s">
        <v>7</v>
      </c>
      <c r="I5" s="435"/>
      <c r="J5" s="427"/>
      <c r="K5" s="426" t="s">
        <v>8</v>
      </c>
      <c r="L5" s="435"/>
      <c r="M5" s="427"/>
      <c r="N5" s="428" t="s">
        <v>9</v>
      </c>
      <c r="O5" s="439"/>
      <c r="P5" s="429"/>
      <c r="Q5" s="415" t="s">
        <v>10</v>
      </c>
      <c r="R5" s="468" t="s">
        <v>11</v>
      </c>
      <c r="S5" s="434" t="s">
        <v>12</v>
      </c>
      <c r="T5" s="427"/>
      <c r="U5" s="428" t="s">
        <v>13</v>
      </c>
      <c r="V5" s="429"/>
      <c r="W5" s="475" t="s">
        <v>14</v>
      </c>
      <c r="X5" s="468" t="s">
        <v>15</v>
      </c>
    </row>
    <row r="6" spans="1:24" ht="15" customHeight="1">
      <c r="A6" s="414"/>
      <c r="B6" s="431"/>
      <c r="C6" s="416"/>
      <c r="D6" s="438"/>
      <c r="E6" s="135" t="s">
        <v>16</v>
      </c>
      <c r="F6" s="134" t="s">
        <v>17</v>
      </c>
      <c r="G6" s="136" t="s">
        <v>18</v>
      </c>
      <c r="H6" s="133" t="s">
        <v>16</v>
      </c>
      <c r="I6" s="134" t="s">
        <v>17</v>
      </c>
      <c r="J6" s="136" t="s">
        <v>18</v>
      </c>
      <c r="K6" s="133" t="s">
        <v>16</v>
      </c>
      <c r="L6" s="134" t="s">
        <v>17</v>
      </c>
      <c r="M6" s="136" t="s">
        <v>18</v>
      </c>
      <c r="N6" s="145" t="s">
        <v>19</v>
      </c>
      <c r="O6" s="141" t="s">
        <v>20</v>
      </c>
      <c r="P6" s="146" t="s">
        <v>21</v>
      </c>
      <c r="Q6" s="416"/>
      <c r="R6" s="438"/>
      <c r="S6" s="135" t="s">
        <v>22</v>
      </c>
      <c r="T6" s="136" t="s">
        <v>23</v>
      </c>
      <c r="U6" s="145" t="s">
        <v>24</v>
      </c>
      <c r="V6" s="146" t="s">
        <v>25</v>
      </c>
      <c r="W6" s="476"/>
      <c r="X6" s="438"/>
    </row>
    <row r="7" spans="1:24" ht="18.75" customHeight="1">
      <c r="A7" s="333" t="s">
        <v>358</v>
      </c>
      <c r="B7" s="52" t="s">
        <v>27</v>
      </c>
      <c r="C7" s="57">
        <v>16</v>
      </c>
      <c r="D7" s="232">
        <v>12.5</v>
      </c>
      <c r="E7" s="30">
        <f>69/16</f>
        <v>4.3125</v>
      </c>
      <c r="F7" s="6">
        <f>111/16</f>
        <v>6.9375</v>
      </c>
      <c r="G7" s="166">
        <v>62.2</v>
      </c>
      <c r="H7" s="26">
        <f>8/16</f>
        <v>0.5</v>
      </c>
      <c r="I7" s="6">
        <f>33/16</f>
        <v>2.0625</v>
      </c>
      <c r="J7" s="167">
        <v>24.2</v>
      </c>
      <c r="K7" s="26">
        <f>38/16</f>
        <v>2.375</v>
      </c>
      <c r="L7" s="6">
        <f>48/16</f>
        <v>3</v>
      </c>
      <c r="M7" s="167">
        <v>79.2</v>
      </c>
      <c r="N7" s="49">
        <v>5.7</v>
      </c>
      <c r="O7" s="7">
        <v>2.7</v>
      </c>
      <c r="P7" s="27">
        <v>8.4</v>
      </c>
      <c r="Q7" s="57">
        <v>2.5</v>
      </c>
      <c r="R7" s="20">
        <v>1.6</v>
      </c>
      <c r="S7" s="43">
        <v>1.1000000000000001</v>
      </c>
      <c r="T7" s="23">
        <v>0.6</v>
      </c>
      <c r="U7" s="49">
        <v>2.4</v>
      </c>
      <c r="V7" s="100" t="s">
        <v>28</v>
      </c>
      <c r="W7" s="57">
        <v>28.5</v>
      </c>
      <c r="X7" s="186">
        <v>19</v>
      </c>
    </row>
    <row r="8" spans="1:24" ht="18.75" customHeight="1">
      <c r="A8" s="334" t="s">
        <v>359</v>
      </c>
      <c r="B8" s="51" t="s">
        <v>33</v>
      </c>
      <c r="C8" s="56">
        <v>3</v>
      </c>
      <c r="D8" s="235">
        <v>13.7</v>
      </c>
      <c r="E8" s="29">
        <f>8/3</f>
        <v>2.6666666666666665</v>
      </c>
      <c r="F8" s="12">
        <f>14/3</f>
        <v>4.666666666666667</v>
      </c>
      <c r="G8" s="216">
        <v>57.1</v>
      </c>
      <c r="H8" s="25">
        <f>7/3</f>
        <v>2.3333333333333335</v>
      </c>
      <c r="I8" s="12">
        <f>20/3</f>
        <v>6.666666666666667</v>
      </c>
      <c r="J8" s="216">
        <v>35</v>
      </c>
      <c r="K8" s="25">
        <f>4/3</f>
        <v>1.3333333333333333</v>
      </c>
      <c r="L8" s="12">
        <f>6/3</f>
        <v>2</v>
      </c>
      <c r="M8" s="216">
        <v>66.7</v>
      </c>
      <c r="N8" s="25">
        <v>6</v>
      </c>
      <c r="O8" s="11">
        <v>0.7</v>
      </c>
      <c r="P8" s="33">
        <v>6.7</v>
      </c>
      <c r="Q8" s="249">
        <v>4</v>
      </c>
      <c r="R8" s="147">
        <v>3</v>
      </c>
      <c r="S8" s="29">
        <v>2.7</v>
      </c>
      <c r="T8" s="102">
        <v>1</v>
      </c>
      <c r="U8" s="25">
        <v>1.7</v>
      </c>
      <c r="V8" s="99" t="s">
        <v>28</v>
      </c>
      <c r="W8" s="56" t="s">
        <v>360</v>
      </c>
      <c r="X8" s="187">
        <v>17</v>
      </c>
    </row>
    <row r="9" spans="1:24" ht="18.75" customHeight="1">
      <c r="A9" s="333" t="s">
        <v>361</v>
      </c>
      <c r="B9" s="52" t="s">
        <v>33</v>
      </c>
      <c r="C9" s="57">
        <v>11</v>
      </c>
      <c r="D9" s="234">
        <v>15.7</v>
      </c>
      <c r="E9" s="30">
        <f>34/11</f>
        <v>3.0909090909090908</v>
      </c>
      <c r="F9" s="6">
        <f>76/11</f>
        <v>6.9090909090909092</v>
      </c>
      <c r="G9" s="167">
        <v>44.7</v>
      </c>
      <c r="H9" s="26">
        <f>24/11</f>
        <v>2.1818181818181817</v>
      </c>
      <c r="I9" s="6">
        <f>72/11</f>
        <v>6.5454545454545459</v>
      </c>
      <c r="J9" s="167">
        <v>33.299999999999997</v>
      </c>
      <c r="K9" s="26">
        <f>33/11</f>
        <v>3</v>
      </c>
      <c r="L9" s="6">
        <f>40/11</f>
        <v>3.6363636363636362</v>
      </c>
      <c r="M9" s="167">
        <v>82.5</v>
      </c>
      <c r="N9" s="49">
        <v>4.4000000000000004</v>
      </c>
      <c r="O9" s="6">
        <v>0.6</v>
      </c>
      <c r="P9" s="27">
        <v>5</v>
      </c>
      <c r="Q9" s="250">
        <v>4</v>
      </c>
      <c r="R9" s="342">
        <v>0.3</v>
      </c>
      <c r="S9" s="43">
        <v>2.2999999999999998</v>
      </c>
      <c r="T9" s="23">
        <v>1.7</v>
      </c>
      <c r="U9" s="49">
        <v>1.8</v>
      </c>
      <c r="V9" s="100" t="s">
        <v>28</v>
      </c>
      <c r="W9" s="57" t="s">
        <v>34</v>
      </c>
      <c r="X9" s="185">
        <v>16.399999999999999</v>
      </c>
    </row>
    <row r="10" spans="1:24" ht="18.75" customHeight="1">
      <c r="A10" s="334" t="s">
        <v>362</v>
      </c>
      <c r="B10" s="51" t="s">
        <v>27</v>
      </c>
      <c r="C10" s="56">
        <v>17</v>
      </c>
      <c r="D10" s="233">
        <v>10.7</v>
      </c>
      <c r="E10" s="29">
        <f>43/17</f>
        <v>2.5294117647058822</v>
      </c>
      <c r="F10" s="12">
        <f>77/17</f>
        <v>4.5294117647058822</v>
      </c>
      <c r="G10" s="216">
        <v>55.8</v>
      </c>
      <c r="H10" s="25">
        <f>23/17</f>
        <v>1.3529411764705883</v>
      </c>
      <c r="I10" s="12">
        <f>57/17</f>
        <v>3.3529411764705883</v>
      </c>
      <c r="J10" s="216">
        <v>40.4</v>
      </c>
      <c r="K10" s="25">
        <f>27/17</f>
        <v>1.588235294117647</v>
      </c>
      <c r="L10" s="12">
        <f>47/17</f>
        <v>2.7647058823529411</v>
      </c>
      <c r="M10" s="216">
        <v>57.4</v>
      </c>
      <c r="N10" s="47">
        <v>3.4</v>
      </c>
      <c r="O10" s="11">
        <v>0.9</v>
      </c>
      <c r="P10" s="33">
        <v>4.3</v>
      </c>
      <c r="Q10" s="56">
        <v>4.5</v>
      </c>
      <c r="R10" s="147">
        <v>0.1</v>
      </c>
      <c r="S10" s="29">
        <v>2.4</v>
      </c>
      <c r="T10" s="22">
        <v>1.1000000000000001</v>
      </c>
      <c r="U10" s="47">
        <v>1.6</v>
      </c>
      <c r="V10" s="99" t="s">
        <v>28</v>
      </c>
      <c r="W10" s="56">
        <v>27.4</v>
      </c>
      <c r="X10" s="187">
        <v>14.6</v>
      </c>
    </row>
    <row r="11" spans="1:24" ht="18.75" customHeight="1">
      <c r="A11" s="333" t="s">
        <v>363</v>
      </c>
      <c r="B11" s="52" t="s">
        <v>33</v>
      </c>
      <c r="C11" s="57">
        <v>2</v>
      </c>
      <c r="D11" s="232">
        <v>10</v>
      </c>
      <c r="E11" s="30">
        <v>5</v>
      </c>
      <c r="F11" s="6">
        <v>8</v>
      </c>
      <c r="G11" s="166">
        <v>62.5</v>
      </c>
      <c r="H11" s="26">
        <v>0</v>
      </c>
      <c r="I11" s="6">
        <f>1/2</f>
        <v>0.5</v>
      </c>
      <c r="J11" s="167">
        <v>0</v>
      </c>
      <c r="K11" s="339" t="s">
        <v>364</v>
      </c>
      <c r="L11" s="6">
        <v>2</v>
      </c>
      <c r="M11" s="345">
        <v>0</v>
      </c>
      <c r="N11" s="49">
        <v>3.5</v>
      </c>
      <c r="O11" s="6">
        <v>3</v>
      </c>
      <c r="P11" s="27">
        <v>6.5</v>
      </c>
      <c r="Q11" s="250">
        <v>0.5</v>
      </c>
      <c r="R11" s="20">
        <v>1.5</v>
      </c>
      <c r="S11" s="43">
        <v>0.5</v>
      </c>
      <c r="T11" s="23">
        <v>0</v>
      </c>
      <c r="U11" s="26">
        <v>3</v>
      </c>
      <c r="V11" s="100" t="s">
        <v>28</v>
      </c>
      <c r="W11" s="57" t="s">
        <v>365</v>
      </c>
      <c r="X11" s="185">
        <v>12.5</v>
      </c>
    </row>
    <row r="12" spans="1:24" ht="18.75" customHeight="1">
      <c r="A12" s="334" t="s">
        <v>366</v>
      </c>
      <c r="B12" s="51" t="s">
        <v>33</v>
      </c>
      <c r="C12" s="56">
        <v>12</v>
      </c>
      <c r="D12" s="235">
        <v>13.4</v>
      </c>
      <c r="E12" s="29">
        <f>31/12</f>
        <v>2.5833333333333335</v>
      </c>
      <c r="F12" s="12">
        <f>68/12</f>
        <v>5.666666666666667</v>
      </c>
      <c r="G12" s="216">
        <v>45.6</v>
      </c>
      <c r="H12" s="25">
        <f>28/12</f>
        <v>2.3333333333333335</v>
      </c>
      <c r="I12" s="12">
        <f>91/12</f>
        <v>7.583333333333333</v>
      </c>
      <c r="J12" s="216">
        <v>30.8</v>
      </c>
      <c r="K12" s="25">
        <f>15/12</f>
        <v>1.25</v>
      </c>
      <c r="L12" s="12">
        <f>20/15</f>
        <v>1.3333333333333333</v>
      </c>
      <c r="M12" s="216">
        <v>75</v>
      </c>
      <c r="N12" s="47">
        <v>4.3</v>
      </c>
      <c r="O12" s="12">
        <v>0.5</v>
      </c>
      <c r="P12" s="33">
        <v>4.8</v>
      </c>
      <c r="Q12" s="56">
        <v>2.7</v>
      </c>
      <c r="R12" s="19">
        <v>0.1</v>
      </c>
      <c r="S12" s="29">
        <v>1.4</v>
      </c>
      <c r="T12" s="22">
        <v>1.3</v>
      </c>
      <c r="U12" s="47">
        <v>2.2999999999999998</v>
      </c>
      <c r="V12" s="99" t="s">
        <v>28</v>
      </c>
      <c r="W12" s="56">
        <v>32.200000000000003</v>
      </c>
      <c r="X12" s="187">
        <v>10.9</v>
      </c>
    </row>
    <row r="13" spans="1:24" ht="18.75" customHeight="1">
      <c r="A13" s="333" t="s">
        <v>367</v>
      </c>
      <c r="B13" s="52" t="s">
        <v>27</v>
      </c>
      <c r="C13" s="57">
        <v>18</v>
      </c>
      <c r="D13" s="234">
        <v>10.1</v>
      </c>
      <c r="E13" s="30">
        <f>35/18</f>
        <v>1.9444444444444444</v>
      </c>
      <c r="F13" s="6">
        <f>77/18</f>
        <v>4.2777777777777777</v>
      </c>
      <c r="G13" s="167">
        <v>45.5</v>
      </c>
      <c r="H13" s="26">
        <f>26/18</f>
        <v>1.4444444444444444</v>
      </c>
      <c r="I13" s="6">
        <f>64/18</f>
        <v>3.5555555555555554</v>
      </c>
      <c r="J13" s="167">
        <v>40.6</v>
      </c>
      <c r="K13" s="26">
        <f>33/18</f>
        <v>1.8333333333333333</v>
      </c>
      <c r="L13" s="6">
        <f>49/18</f>
        <v>2.7222222222222223</v>
      </c>
      <c r="M13" s="167">
        <v>67.3</v>
      </c>
      <c r="N13" s="26">
        <v>1.8</v>
      </c>
      <c r="O13" s="7">
        <v>0.6</v>
      </c>
      <c r="P13" s="27">
        <v>2.4</v>
      </c>
      <c r="Q13" s="57">
        <v>3.1</v>
      </c>
      <c r="R13" s="20">
        <v>0.1</v>
      </c>
      <c r="S13" s="43">
        <v>1.6</v>
      </c>
      <c r="T13" s="23">
        <v>1.1000000000000001</v>
      </c>
      <c r="U13" s="26">
        <v>2</v>
      </c>
      <c r="V13" s="100" t="s">
        <v>28</v>
      </c>
      <c r="W13" s="57">
        <v>27.9</v>
      </c>
      <c r="X13" s="185">
        <v>10.1</v>
      </c>
    </row>
    <row r="14" spans="1:24" ht="18.75" customHeight="1">
      <c r="A14" s="334" t="s">
        <v>368</v>
      </c>
      <c r="B14" s="51" t="s">
        <v>27</v>
      </c>
      <c r="C14" s="56">
        <v>18</v>
      </c>
      <c r="D14" s="233">
        <v>6.7</v>
      </c>
      <c r="E14" s="29">
        <f>41/18</f>
        <v>2.2777777777777777</v>
      </c>
      <c r="F14" s="12">
        <f>78/18</f>
        <v>4.333333333333333</v>
      </c>
      <c r="G14" s="165">
        <v>52.6</v>
      </c>
      <c r="H14" s="31">
        <v>0</v>
      </c>
      <c r="I14" s="14">
        <v>0</v>
      </c>
      <c r="J14" s="218">
        <v>0</v>
      </c>
      <c r="K14" s="25">
        <f>38/18</f>
        <v>2.1111111111111112</v>
      </c>
      <c r="L14" s="12">
        <f>70/18</f>
        <v>3.8888888888888888</v>
      </c>
      <c r="M14" s="165">
        <v>54.3</v>
      </c>
      <c r="N14" s="47">
        <v>2.9</v>
      </c>
      <c r="O14" s="11">
        <v>2.1</v>
      </c>
      <c r="P14" s="33">
        <v>4.9000000000000004</v>
      </c>
      <c r="Q14" s="56">
        <v>0.8</v>
      </c>
      <c r="R14" s="19">
        <v>0.1</v>
      </c>
      <c r="S14" s="42">
        <v>1.3</v>
      </c>
      <c r="T14" s="22">
        <v>0.5</v>
      </c>
      <c r="U14" s="47">
        <v>2.7</v>
      </c>
      <c r="V14" s="99" t="s">
        <v>28</v>
      </c>
      <c r="W14" s="56">
        <v>19.3</v>
      </c>
      <c r="X14" s="184">
        <v>8.1</v>
      </c>
    </row>
    <row r="15" spans="1:24" ht="18.75" customHeight="1">
      <c r="A15" s="335" t="s">
        <v>369</v>
      </c>
      <c r="B15" s="52" t="s">
        <v>27</v>
      </c>
      <c r="C15" s="57">
        <v>10</v>
      </c>
      <c r="D15" s="234">
        <v>6.7</v>
      </c>
      <c r="E15" s="30">
        <v>1.6</v>
      </c>
      <c r="F15" s="6">
        <v>3.3</v>
      </c>
      <c r="G15" s="166">
        <v>48.5</v>
      </c>
      <c r="H15" s="26">
        <f>9/10</f>
        <v>0.9</v>
      </c>
      <c r="I15" s="6">
        <v>3.5</v>
      </c>
      <c r="J15" s="167">
        <v>25.7</v>
      </c>
      <c r="K15" s="26">
        <v>0.8</v>
      </c>
      <c r="L15" s="6">
        <v>1</v>
      </c>
      <c r="M15" s="167">
        <v>80</v>
      </c>
      <c r="N15" s="26">
        <v>2.6</v>
      </c>
      <c r="O15" s="7">
        <v>0.5</v>
      </c>
      <c r="P15" s="27">
        <v>3.1</v>
      </c>
      <c r="Q15" s="57">
        <v>1.8</v>
      </c>
      <c r="R15" s="44">
        <v>0.6</v>
      </c>
      <c r="S15" s="43">
        <v>0.8</v>
      </c>
      <c r="T15" s="23">
        <v>0.7</v>
      </c>
      <c r="U15" s="49">
        <v>1.3</v>
      </c>
      <c r="V15" s="100" t="s">
        <v>28</v>
      </c>
      <c r="W15" s="57" t="s">
        <v>370</v>
      </c>
      <c r="X15" s="186">
        <v>7</v>
      </c>
    </row>
    <row r="16" spans="1:24" ht="18.75" customHeight="1">
      <c r="A16" s="336" t="s">
        <v>371</v>
      </c>
      <c r="B16" s="51" t="s">
        <v>33</v>
      </c>
      <c r="C16" s="56">
        <v>2</v>
      </c>
      <c r="D16" s="235">
        <v>8.5</v>
      </c>
      <c r="E16" s="29">
        <f>3/2</f>
        <v>1.5</v>
      </c>
      <c r="F16" s="12">
        <v>3</v>
      </c>
      <c r="G16" s="216">
        <v>50</v>
      </c>
      <c r="H16" s="25">
        <v>1</v>
      </c>
      <c r="I16" s="12">
        <v>1</v>
      </c>
      <c r="J16" s="218">
        <v>100</v>
      </c>
      <c r="K16" s="25">
        <f>5/2</f>
        <v>2.5</v>
      </c>
      <c r="L16" s="12">
        <v>3</v>
      </c>
      <c r="M16" s="165">
        <v>83.3</v>
      </c>
      <c r="N16" s="25">
        <v>1.5</v>
      </c>
      <c r="O16" s="11">
        <v>1.5</v>
      </c>
      <c r="P16" s="33">
        <v>3</v>
      </c>
      <c r="Q16" s="56">
        <v>0</v>
      </c>
      <c r="R16" s="19">
        <v>0</v>
      </c>
      <c r="S16" s="29">
        <v>2</v>
      </c>
      <c r="T16" s="102">
        <v>0.5</v>
      </c>
      <c r="U16" s="25">
        <v>3.5</v>
      </c>
      <c r="V16" s="99" t="s">
        <v>28</v>
      </c>
      <c r="W16" s="56" t="s">
        <v>344</v>
      </c>
      <c r="X16" s="187">
        <v>7</v>
      </c>
    </row>
    <row r="17" spans="1:35" ht="18.75" customHeight="1">
      <c r="A17" s="333" t="s">
        <v>372</v>
      </c>
      <c r="B17" s="52" t="s">
        <v>27</v>
      </c>
      <c r="C17" s="57">
        <v>17</v>
      </c>
      <c r="D17" s="232">
        <v>6.1</v>
      </c>
      <c r="E17" s="30">
        <f>27/17</f>
        <v>1.588235294117647</v>
      </c>
      <c r="F17" s="6">
        <f>46/17</f>
        <v>2.7058823529411766</v>
      </c>
      <c r="G17" s="166">
        <v>58.7</v>
      </c>
      <c r="H17" s="26">
        <f>9/17</f>
        <v>0.52941176470588236</v>
      </c>
      <c r="I17" s="6">
        <f>30/17</f>
        <v>1.7647058823529411</v>
      </c>
      <c r="J17" s="167">
        <v>30</v>
      </c>
      <c r="K17" s="26">
        <f>22/17</f>
        <v>1.2941176470588236</v>
      </c>
      <c r="L17" s="6">
        <f>29/17</f>
        <v>1.7058823529411764</v>
      </c>
      <c r="M17" s="167">
        <v>75.900000000000006</v>
      </c>
      <c r="N17" s="49">
        <v>2.1</v>
      </c>
      <c r="O17" s="7">
        <v>0.6</v>
      </c>
      <c r="P17" s="27">
        <v>2.7</v>
      </c>
      <c r="Q17" s="250">
        <v>0.4</v>
      </c>
      <c r="R17" s="20">
        <v>0.5</v>
      </c>
      <c r="S17" s="43">
        <v>0.6</v>
      </c>
      <c r="T17" s="23">
        <v>0.3</v>
      </c>
      <c r="U17" s="49">
        <v>1.6</v>
      </c>
      <c r="V17" s="100" t="s">
        <v>28</v>
      </c>
      <c r="W17" s="57">
        <v>14.6</v>
      </c>
      <c r="X17" s="185">
        <v>6.4</v>
      </c>
    </row>
    <row r="18" spans="1:35" ht="18.75" customHeight="1">
      <c r="A18" s="334" t="s">
        <v>373</v>
      </c>
      <c r="B18" s="51" t="s">
        <v>27</v>
      </c>
      <c r="C18" s="56">
        <v>17</v>
      </c>
      <c r="D18" s="233">
        <v>4.4000000000000004</v>
      </c>
      <c r="E18" s="29">
        <f>17/17</f>
        <v>1</v>
      </c>
      <c r="F18" s="12">
        <f>29/17</f>
        <v>1.7058823529411764</v>
      </c>
      <c r="G18" s="216">
        <v>58.6</v>
      </c>
      <c r="H18" s="25">
        <f>13/17</f>
        <v>0.76470588235294112</v>
      </c>
      <c r="I18" s="12">
        <f>25/17</f>
        <v>1.4705882352941178</v>
      </c>
      <c r="J18" s="216">
        <v>52</v>
      </c>
      <c r="K18" s="25">
        <f>1/17</f>
        <v>5.8823529411764705E-2</v>
      </c>
      <c r="L18" s="12">
        <f>4/17</f>
        <v>0.23529411764705882</v>
      </c>
      <c r="M18" s="216">
        <v>25</v>
      </c>
      <c r="N18" s="47">
        <v>0.8</v>
      </c>
      <c r="O18" s="11">
        <v>0.1</v>
      </c>
      <c r="P18" s="33">
        <v>0.9</v>
      </c>
      <c r="Q18" s="56">
        <v>1.1000000000000001</v>
      </c>
      <c r="R18" s="19">
        <v>0</v>
      </c>
      <c r="S18" s="29">
        <v>0.7</v>
      </c>
      <c r="T18" s="22">
        <v>0.2</v>
      </c>
      <c r="U18" s="47">
        <v>1.8</v>
      </c>
      <c r="V18" s="99" t="s">
        <v>28</v>
      </c>
      <c r="W18" s="56">
        <v>11.6</v>
      </c>
      <c r="X18" s="187">
        <v>2.8</v>
      </c>
    </row>
    <row r="19" spans="1:35" ht="18.75" customHeight="1">
      <c r="A19" s="333" t="s">
        <v>374</v>
      </c>
      <c r="B19" s="52" t="s">
        <v>27</v>
      </c>
      <c r="C19" s="57">
        <v>15</v>
      </c>
      <c r="D19" s="234">
        <v>2.6</v>
      </c>
      <c r="E19" s="30">
        <f>11/15</f>
        <v>0.73333333333333328</v>
      </c>
      <c r="F19" s="6">
        <f>28/15</f>
        <v>1.8666666666666667</v>
      </c>
      <c r="G19" s="166">
        <v>47.8</v>
      </c>
      <c r="H19" s="26">
        <f>3/15</f>
        <v>0.2</v>
      </c>
      <c r="I19" s="6">
        <f>20/15</f>
        <v>1.3333333333333333</v>
      </c>
      <c r="J19" s="167">
        <v>15</v>
      </c>
      <c r="K19" s="26">
        <f>8/15</f>
        <v>0.53333333333333333</v>
      </c>
      <c r="L19" s="6">
        <f>14/15</f>
        <v>0.93333333333333335</v>
      </c>
      <c r="M19" s="167">
        <v>57.1</v>
      </c>
      <c r="N19" s="49">
        <v>1.5</v>
      </c>
      <c r="O19" s="6">
        <v>0.5</v>
      </c>
      <c r="P19" s="27">
        <v>1.9</v>
      </c>
      <c r="Q19" s="250">
        <v>0.3</v>
      </c>
      <c r="R19" s="20">
        <v>0.2</v>
      </c>
      <c r="S19" s="43">
        <v>0.5</v>
      </c>
      <c r="T19" s="23">
        <v>0.6</v>
      </c>
      <c r="U19" s="26">
        <v>1.3</v>
      </c>
      <c r="V19" s="100" t="s">
        <v>28</v>
      </c>
      <c r="W19" s="57">
        <v>13.4</v>
      </c>
      <c r="X19" s="185">
        <v>2.2999999999999998</v>
      </c>
    </row>
    <row r="20" spans="1:35" ht="18.75" customHeight="1">
      <c r="A20" s="334" t="s">
        <v>375</v>
      </c>
      <c r="B20" s="51" t="s">
        <v>59</v>
      </c>
      <c r="C20" s="56">
        <v>9</v>
      </c>
      <c r="D20" s="233">
        <v>1.2</v>
      </c>
      <c r="E20" s="29">
        <f>3/9</f>
        <v>0.33333333333333331</v>
      </c>
      <c r="F20" s="12">
        <f>7/9</f>
        <v>0.77777777777777779</v>
      </c>
      <c r="G20" s="165">
        <v>42.9</v>
      </c>
      <c r="H20" s="25">
        <f>1/9</f>
        <v>0.1111111111111111</v>
      </c>
      <c r="I20" s="12">
        <f>6/9</f>
        <v>0.66666666666666663</v>
      </c>
      <c r="J20" s="216">
        <v>16.7</v>
      </c>
      <c r="K20" s="25">
        <f>2/9</f>
        <v>0.22222222222222221</v>
      </c>
      <c r="L20" s="12">
        <v>0.2</v>
      </c>
      <c r="M20" s="165">
        <v>100</v>
      </c>
      <c r="N20" s="47">
        <v>1.2</v>
      </c>
      <c r="O20" s="11">
        <v>0.3</v>
      </c>
      <c r="P20" s="33">
        <v>1.6</v>
      </c>
      <c r="Q20" s="56">
        <v>0.3</v>
      </c>
      <c r="R20" s="19">
        <v>0.2</v>
      </c>
      <c r="S20" s="42">
        <v>0.2</v>
      </c>
      <c r="T20" s="102">
        <v>0.2</v>
      </c>
      <c r="U20" s="47">
        <v>0.4</v>
      </c>
      <c r="V20" s="99" t="s">
        <v>28</v>
      </c>
      <c r="W20" s="56" t="s">
        <v>376</v>
      </c>
      <c r="X20" s="184">
        <v>2.2000000000000002</v>
      </c>
    </row>
    <row r="21" spans="1:35" ht="18.75" customHeight="1">
      <c r="A21" s="333" t="s">
        <v>377</v>
      </c>
      <c r="B21" s="52" t="s">
        <v>284</v>
      </c>
      <c r="C21" s="57">
        <v>5</v>
      </c>
      <c r="D21" s="234">
        <v>2.2000000000000002</v>
      </c>
      <c r="E21" s="30">
        <f>3/5</f>
        <v>0.6</v>
      </c>
      <c r="F21" s="6">
        <v>0.6</v>
      </c>
      <c r="G21" s="166">
        <v>100</v>
      </c>
      <c r="H21" s="26">
        <f>1/5</f>
        <v>0.2</v>
      </c>
      <c r="I21" s="6">
        <f>4/5</f>
        <v>0.8</v>
      </c>
      <c r="J21" s="167">
        <v>25</v>
      </c>
      <c r="K21" s="26">
        <f>2/5</f>
        <v>0.4</v>
      </c>
      <c r="L21" s="6">
        <f>3/5</f>
        <v>0.6</v>
      </c>
      <c r="M21" s="167">
        <v>66.7</v>
      </c>
      <c r="N21" s="26">
        <v>0.4</v>
      </c>
      <c r="O21" s="8">
        <v>0</v>
      </c>
      <c r="P21" s="27">
        <v>0.4</v>
      </c>
      <c r="Q21" s="57">
        <v>0.8</v>
      </c>
      <c r="R21" s="20">
        <v>0</v>
      </c>
      <c r="S21" s="43">
        <v>1.6</v>
      </c>
      <c r="T21" s="23">
        <v>0</v>
      </c>
      <c r="U21" s="26">
        <v>0.2</v>
      </c>
      <c r="V21" s="100" t="s">
        <v>28</v>
      </c>
      <c r="W21" s="57" t="s">
        <v>378</v>
      </c>
      <c r="X21" s="185">
        <v>1.2</v>
      </c>
    </row>
    <row r="22" spans="1:35" ht="18.75" customHeight="1">
      <c r="A22" s="346" t="s">
        <v>379</v>
      </c>
      <c r="B22" s="75" t="s">
        <v>33</v>
      </c>
      <c r="C22" s="73">
        <v>3</v>
      </c>
      <c r="D22" s="304">
        <v>1.3</v>
      </c>
      <c r="E22" s="347">
        <v>0</v>
      </c>
      <c r="F22" s="69">
        <v>1</v>
      </c>
      <c r="G22" s="168">
        <v>0</v>
      </c>
      <c r="H22" s="68">
        <f>1/3</f>
        <v>0.33333333333333331</v>
      </c>
      <c r="I22" s="69">
        <v>1</v>
      </c>
      <c r="J22" s="171">
        <v>33.299999999999997</v>
      </c>
      <c r="K22" s="68">
        <v>0.3</v>
      </c>
      <c r="L22" s="69">
        <f>2/3</f>
        <v>0.66666666666666663</v>
      </c>
      <c r="M22" s="171">
        <v>50</v>
      </c>
      <c r="N22" s="68">
        <v>0.3</v>
      </c>
      <c r="O22" s="72">
        <v>0</v>
      </c>
      <c r="P22" s="242">
        <v>0.3</v>
      </c>
      <c r="Q22" s="73">
        <v>2.2999999999999998</v>
      </c>
      <c r="R22" s="67">
        <v>0</v>
      </c>
      <c r="S22" s="241">
        <v>1</v>
      </c>
      <c r="T22" s="66">
        <v>0.3</v>
      </c>
      <c r="U22" s="74">
        <v>0.7</v>
      </c>
      <c r="V22" s="243" t="s">
        <v>28</v>
      </c>
      <c r="W22" s="73" t="s">
        <v>380</v>
      </c>
      <c r="X22" s="348">
        <v>1</v>
      </c>
    </row>
    <row r="23" spans="1:35" s="2" customFormat="1" ht="18.75" customHeight="1">
      <c r="A23" s="448" t="s">
        <v>381</v>
      </c>
      <c r="B23" s="449"/>
      <c r="C23" s="321">
        <v>19</v>
      </c>
      <c r="D23" s="322">
        <v>74.599999999999994</v>
      </c>
      <c r="E23" s="258">
        <v>18.7</v>
      </c>
      <c r="F23" s="259">
        <v>35.6</v>
      </c>
      <c r="G23" s="260">
        <v>52.7</v>
      </c>
      <c r="H23" s="323">
        <v>8.1999999999999993</v>
      </c>
      <c r="I23" s="259">
        <v>24.6</v>
      </c>
      <c r="J23" s="260">
        <v>33.200000000000003</v>
      </c>
      <c r="K23" s="80">
        <v>12.7</v>
      </c>
      <c r="L23" s="81">
        <v>18.899999999999999</v>
      </c>
      <c r="M23" s="82">
        <v>66.900000000000006</v>
      </c>
      <c r="N23" s="89">
        <v>24.9</v>
      </c>
      <c r="O23" s="85">
        <v>8.4</v>
      </c>
      <c r="P23" s="245">
        <v>33.299999999999997</v>
      </c>
      <c r="Q23" s="264">
        <v>17.8</v>
      </c>
      <c r="R23" s="78">
        <v>3.1</v>
      </c>
      <c r="S23" s="266">
        <v>11.6</v>
      </c>
      <c r="T23" s="267">
        <v>6.5</v>
      </c>
      <c r="U23" s="89">
        <v>16.5</v>
      </c>
      <c r="V23" s="349"/>
      <c r="W23" s="350"/>
      <c r="X23" s="126">
        <v>83.1</v>
      </c>
      <c r="Y23"/>
      <c r="Z23"/>
    </row>
    <row r="24" spans="1:35" s="2" customFormat="1" ht="18.75" customHeight="1">
      <c r="A24" s="440" t="s">
        <v>62</v>
      </c>
      <c r="B24" s="478"/>
      <c r="C24" s="337">
        <v>19</v>
      </c>
      <c r="D24" s="340">
        <v>73.5</v>
      </c>
      <c r="E24" s="508"/>
      <c r="F24" s="508"/>
      <c r="G24" s="343">
        <v>51.5</v>
      </c>
      <c r="H24" s="507"/>
      <c r="I24" s="505"/>
      <c r="J24" s="344">
        <v>30.7</v>
      </c>
      <c r="K24" s="504"/>
      <c r="L24" s="504"/>
      <c r="M24" s="504"/>
      <c r="N24" s="504"/>
      <c r="O24" s="504"/>
      <c r="P24" s="504"/>
      <c r="Q24" s="505"/>
      <c r="R24" s="504"/>
      <c r="S24" s="505"/>
      <c r="T24" s="505"/>
      <c r="U24" s="504"/>
      <c r="V24" s="504"/>
      <c r="W24" s="505"/>
      <c r="X24" s="506"/>
      <c r="Y24"/>
      <c r="Z24"/>
    </row>
    <row r="25" spans="1:35" s="2" customFormat="1" ht="18.75" customHeight="1">
      <c r="A25" s="437" t="s">
        <v>382</v>
      </c>
      <c r="B25" s="437"/>
      <c r="C25" s="437"/>
      <c r="D25" s="437"/>
      <c r="E25" s="437"/>
      <c r="F25" s="437"/>
      <c r="G25" s="437"/>
      <c r="H25" s="437"/>
      <c r="I25" s="437"/>
      <c r="J25" s="437"/>
      <c r="K25" s="437"/>
      <c r="L25" s="437"/>
      <c r="M25" s="437"/>
      <c r="N25" s="437"/>
      <c r="O25" s="437"/>
      <c r="P25" s="437"/>
      <c r="Q25" s="437"/>
      <c r="R25" s="437"/>
      <c r="S25" s="437"/>
      <c r="T25" s="437"/>
      <c r="U25" s="437"/>
      <c r="V25" s="437"/>
      <c r="W25" s="437"/>
      <c r="X25" s="437"/>
      <c r="Y25"/>
      <c r="Z25"/>
    </row>
    <row r="26" spans="1:35" s="2" customFormat="1" ht="18.75" customHeight="1">
      <c r="A26" s="432" t="s">
        <v>383</v>
      </c>
      <c r="B26" s="432"/>
      <c r="C26" s="432"/>
      <c r="D26" s="432"/>
      <c r="E26" s="432"/>
      <c r="F26" s="432"/>
      <c r="G26" s="432"/>
      <c r="H26" s="432"/>
      <c r="I26" s="432"/>
      <c r="J26" s="432"/>
      <c r="K26" s="432"/>
      <c r="L26" s="432"/>
      <c r="M26" s="432"/>
      <c r="N26" s="432"/>
      <c r="O26" s="432"/>
      <c r="P26" s="432"/>
      <c r="Q26" s="432"/>
      <c r="R26" s="432"/>
      <c r="S26" s="432"/>
      <c r="T26" s="432"/>
      <c r="U26" s="432"/>
      <c r="V26" s="432"/>
      <c r="W26" s="432"/>
      <c r="X26" s="432"/>
      <c r="Y26"/>
    </row>
    <row r="27" spans="1:35" s="2" customFormat="1" ht="18.75" customHeight="1">
      <c r="A27" s="433" t="s">
        <v>65</v>
      </c>
      <c r="B27" s="433"/>
      <c r="C27" s="433"/>
      <c r="D27" s="433"/>
      <c r="E27" s="433"/>
      <c r="F27" s="433"/>
      <c r="G27" s="433"/>
      <c r="H27" s="433"/>
      <c r="I27" s="433"/>
      <c r="J27" s="433"/>
      <c r="K27" s="433"/>
      <c r="L27" s="433"/>
      <c r="M27" s="433"/>
      <c r="N27" s="433"/>
      <c r="O27" s="433"/>
      <c r="P27" s="433"/>
      <c r="Q27" s="433"/>
      <c r="R27" s="433"/>
      <c r="S27" s="433"/>
      <c r="T27" s="433"/>
      <c r="U27" s="433"/>
      <c r="V27" s="433"/>
      <c r="W27" s="433"/>
      <c r="X27" s="433"/>
      <c r="Y27"/>
      <c r="AI27" s="3"/>
    </row>
    <row r="28" spans="1:35" ht="18.75" customHeight="1"/>
  </sheetData>
  <mergeCells count="26">
    <mergeCell ref="U2:X4"/>
    <mergeCell ref="B1:T2"/>
    <mergeCell ref="B3:T4"/>
    <mergeCell ref="S5:T5"/>
    <mergeCell ref="R5:R6"/>
    <mergeCell ref="C5:C6"/>
    <mergeCell ref="Q5:Q6"/>
    <mergeCell ref="K24:X24"/>
    <mergeCell ref="H24:I24"/>
    <mergeCell ref="E24:F24"/>
    <mergeCell ref="A1:A4"/>
    <mergeCell ref="D5:D6"/>
    <mergeCell ref="K5:M5"/>
    <mergeCell ref="N5:P5"/>
    <mergeCell ref="A27:X27"/>
    <mergeCell ref="X5:X6"/>
    <mergeCell ref="A25:X25"/>
    <mergeCell ref="A26:X26"/>
    <mergeCell ref="B5:B6"/>
    <mergeCell ref="H5:J5"/>
    <mergeCell ref="A5:A6"/>
    <mergeCell ref="A23:B23"/>
    <mergeCell ref="A24:B24"/>
    <mergeCell ref="W5:W6"/>
    <mergeCell ref="E5:G5"/>
    <mergeCell ref="U5:V5"/>
  </mergeCells>
  <pageMargins left="0.25" right="0.25" top="0.75" bottom="0.75" header="0.3" footer="0.3"/>
  <pageSetup paperSize="5" orientation="landscape" horizontalDpi="90" verticalDpi="90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-0.499984740745262"/>
  </sheetPr>
  <dimension ref="A1:AI25"/>
  <sheetViews>
    <sheetView zoomScale="106" zoomScaleNormal="106" workbookViewId="0">
      <selection activeCell="B1" sqref="B1:S2"/>
    </sheetView>
  </sheetViews>
  <sheetFormatPr defaultColWidth="9.140625" defaultRowHeight="15"/>
  <cols>
    <col min="1" max="1" width="25.140625" customWidth="1"/>
    <col min="2" max="2" width="7.7109375" customWidth="1"/>
    <col min="3" max="3" width="5.7109375" style="1" customWidth="1"/>
    <col min="4" max="4" width="6.140625" style="1" customWidth="1"/>
    <col min="5" max="23" width="5.7109375" style="1" customWidth="1"/>
    <col min="24" max="24" width="6.140625" style="1" customWidth="1"/>
    <col min="25" max="255" width="11.42578125" customWidth="1"/>
  </cols>
  <sheetData>
    <row r="1" spans="1:24" ht="14.25" customHeight="1">
      <c r="A1" s="512"/>
      <c r="B1" s="421" t="s">
        <v>384</v>
      </c>
      <c r="C1" s="421"/>
      <c r="D1" s="421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1"/>
      <c r="Q1" s="421"/>
      <c r="R1" s="421"/>
      <c r="S1" s="421"/>
      <c r="T1" s="514"/>
      <c r="U1" s="514"/>
      <c r="V1" s="514"/>
      <c r="W1" s="514"/>
      <c r="X1" s="515"/>
    </row>
    <row r="2" spans="1:24" ht="14.25" customHeight="1">
      <c r="A2" s="513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516"/>
      <c r="U2" s="516"/>
      <c r="V2" s="516"/>
      <c r="W2" s="516"/>
      <c r="X2" s="517"/>
    </row>
    <row r="3" spans="1:24" ht="15" customHeight="1">
      <c r="A3" s="513"/>
      <c r="B3" s="518" t="s">
        <v>385</v>
      </c>
      <c r="C3" s="518"/>
      <c r="D3" s="518"/>
      <c r="E3" s="518"/>
      <c r="F3" s="518"/>
      <c r="G3" s="518"/>
      <c r="H3" s="518"/>
      <c r="I3" s="518"/>
      <c r="J3" s="518"/>
      <c r="K3" s="518"/>
      <c r="L3" s="518"/>
      <c r="M3" s="518"/>
      <c r="N3" s="518"/>
      <c r="O3" s="518"/>
      <c r="P3" s="518"/>
      <c r="Q3" s="518"/>
      <c r="R3" s="518"/>
      <c r="S3" s="518"/>
      <c r="T3" s="516"/>
      <c r="U3" s="516"/>
      <c r="V3" s="516"/>
      <c r="W3" s="516"/>
      <c r="X3" s="517"/>
    </row>
    <row r="4" spans="1:24" ht="15.75" customHeight="1">
      <c r="A4" s="513"/>
      <c r="B4" s="518"/>
      <c r="C4" s="518"/>
      <c r="D4" s="518"/>
      <c r="E4" s="518"/>
      <c r="F4" s="518"/>
      <c r="G4" s="518"/>
      <c r="H4" s="518"/>
      <c r="I4" s="518"/>
      <c r="J4" s="518"/>
      <c r="K4" s="518"/>
      <c r="L4" s="518"/>
      <c r="M4" s="518"/>
      <c r="N4" s="518"/>
      <c r="O4" s="518"/>
      <c r="P4" s="518"/>
      <c r="Q4" s="518"/>
      <c r="R4" s="518"/>
      <c r="S4" s="518"/>
      <c r="T4" s="516"/>
      <c r="U4" s="516"/>
      <c r="V4" s="516"/>
      <c r="W4" s="516"/>
      <c r="X4" s="517"/>
    </row>
    <row r="5" spans="1:24" ht="15" customHeight="1">
      <c r="A5" s="413" t="s">
        <v>2</v>
      </c>
      <c r="B5" s="430" t="s">
        <v>3</v>
      </c>
      <c r="C5" s="415" t="s">
        <v>4</v>
      </c>
      <c r="D5" s="417" t="s">
        <v>5</v>
      </c>
      <c r="E5" s="426" t="s">
        <v>6</v>
      </c>
      <c r="F5" s="435"/>
      <c r="G5" s="430"/>
      <c r="H5" s="434" t="s">
        <v>7</v>
      </c>
      <c r="I5" s="435"/>
      <c r="J5" s="427"/>
      <c r="K5" s="426" t="s">
        <v>8</v>
      </c>
      <c r="L5" s="435"/>
      <c r="M5" s="427"/>
      <c r="N5" s="428" t="s">
        <v>9</v>
      </c>
      <c r="O5" s="439"/>
      <c r="P5" s="429"/>
      <c r="Q5" s="419" t="s">
        <v>10</v>
      </c>
      <c r="R5" s="415" t="s">
        <v>11</v>
      </c>
      <c r="S5" s="426" t="s">
        <v>12</v>
      </c>
      <c r="T5" s="427"/>
      <c r="U5" s="428" t="s">
        <v>13</v>
      </c>
      <c r="V5" s="429"/>
      <c r="W5" s="475" t="s">
        <v>14</v>
      </c>
      <c r="X5" s="468" t="s">
        <v>15</v>
      </c>
    </row>
    <row r="6" spans="1:24" ht="15" customHeight="1">
      <c r="A6" s="414"/>
      <c r="B6" s="431"/>
      <c r="C6" s="416"/>
      <c r="D6" s="418"/>
      <c r="E6" s="133" t="s">
        <v>16</v>
      </c>
      <c r="F6" s="134" t="s">
        <v>17</v>
      </c>
      <c r="G6" s="132" t="s">
        <v>18</v>
      </c>
      <c r="H6" s="135" t="s">
        <v>16</v>
      </c>
      <c r="I6" s="134" t="s">
        <v>17</v>
      </c>
      <c r="J6" s="136" t="s">
        <v>18</v>
      </c>
      <c r="K6" s="133" t="s">
        <v>16</v>
      </c>
      <c r="L6" s="134" t="s">
        <v>17</v>
      </c>
      <c r="M6" s="136" t="s">
        <v>18</v>
      </c>
      <c r="N6" s="145" t="s">
        <v>19</v>
      </c>
      <c r="O6" s="141" t="s">
        <v>20</v>
      </c>
      <c r="P6" s="146" t="s">
        <v>21</v>
      </c>
      <c r="Q6" s="420"/>
      <c r="R6" s="416"/>
      <c r="S6" s="133" t="s">
        <v>22</v>
      </c>
      <c r="T6" s="136" t="s">
        <v>23</v>
      </c>
      <c r="U6" s="145" t="s">
        <v>24</v>
      </c>
      <c r="V6" s="146" t="s">
        <v>25</v>
      </c>
      <c r="W6" s="476"/>
      <c r="X6" s="438"/>
    </row>
    <row r="7" spans="1:24" ht="18.75" customHeight="1">
      <c r="A7" s="94" t="s">
        <v>386</v>
      </c>
      <c r="B7" s="52" t="s">
        <v>33</v>
      </c>
      <c r="C7" s="57">
        <v>19</v>
      </c>
      <c r="D7" s="210">
        <v>17.899999999999999</v>
      </c>
      <c r="E7" s="26">
        <f>108/19</f>
        <v>5.6842105263157894</v>
      </c>
      <c r="F7" s="6">
        <f>187/19</f>
        <v>9.8421052631578956</v>
      </c>
      <c r="G7" s="177">
        <v>57.8</v>
      </c>
      <c r="H7" s="30">
        <f>27/19</f>
        <v>1.4210526315789473</v>
      </c>
      <c r="I7" s="6">
        <f>59/19</f>
        <v>3.1052631578947367</v>
      </c>
      <c r="J7" s="167">
        <v>34.200000000000003</v>
      </c>
      <c r="K7" s="26">
        <f>44/19</f>
        <v>2.3157894736842106</v>
      </c>
      <c r="L7" s="6">
        <f>59/19</f>
        <v>3.1052631578947367</v>
      </c>
      <c r="M7" s="167">
        <v>74.599999999999994</v>
      </c>
      <c r="N7" s="26">
        <v>4.5999999999999996</v>
      </c>
      <c r="O7" s="7">
        <v>0.8</v>
      </c>
      <c r="P7" s="27">
        <v>5.4</v>
      </c>
      <c r="Q7" s="287">
        <v>5.5</v>
      </c>
      <c r="R7" s="57">
        <v>0.2</v>
      </c>
      <c r="S7" s="49">
        <v>2.1</v>
      </c>
      <c r="T7" s="23">
        <v>1.3</v>
      </c>
      <c r="U7" s="26">
        <v>2.8</v>
      </c>
      <c r="V7" s="100" t="s">
        <v>28</v>
      </c>
      <c r="W7" s="57" t="s">
        <v>387</v>
      </c>
      <c r="X7" s="234">
        <v>20.8</v>
      </c>
    </row>
    <row r="8" spans="1:24" ht="18.75" customHeight="1">
      <c r="A8" s="127" t="s">
        <v>388</v>
      </c>
      <c r="B8" s="51" t="s">
        <v>33</v>
      </c>
      <c r="C8" s="56">
        <v>12</v>
      </c>
      <c r="D8" s="209">
        <v>9.5</v>
      </c>
      <c r="E8" s="25">
        <f>45/12</f>
        <v>3.75</v>
      </c>
      <c r="F8" s="12">
        <f>80/12</f>
        <v>6.666666666666667</v>
      </c>
      <c r="G8" s="176">
        <v>56.3</v>
      </c>
      <c r="H8" s="29">
        <f>2/12</f>
        <v>0.16666666666666666</v>
      </c>
      <c r="I8" s="12">
        <f>6/12</f>
        <v>0.5</v>
      </c>
      <c r="J8" s="216">
        <v>33.299999999999997</v>
      </c>
      <c r="K8" s="25">
        <f>18/12</f>
        <v>1.5</v>
      </c>
      <c r="L8" s="12">
        <f>32/12</f>
        <v>2.6666666666666665</v>
      </c>
      <c r="M8" s="216">
        <v>56.3</v>
      </c>
      <c r="N8" s="47">
        <v>6.1</v>
      </c>
      <c r="O8" s="11">
        <v>2.8</v>
      </c>
      <c r="P8" s="33">
        <v>8.8000000000000007</v>
      </c>
      <c r="Q8" s="288">
        <v>0.3</v>
      </c>
      <c r="R8" s="56">
        <v>1.4</v>
      </c>
      <c r="S8" s="47">
        <v>1.7</v>
      </c>
      <c r="T8" s="22">
        <v>0.5</v>
      </c>
      <c r="U8" s="47">
        <v>1.5</v>
      </c>
      <c r="V8" s="99" t="s">
        <v>28</v>
      </c>
      <c r="W8" s="56" t="s">
        <v>42</v>
      </c>
      <c r="X8" s="233">
        <v>14.7</v>
      </c>
    </row>
    <row r="9" spans="1:24" ht="18.75" customHeight="1">
      <c r="A9" s="94" t="s">
        <v>389</v>
      </c>
      <c r="B9" s="52" t="s">
        <v>33</v>
      </c>
      <c r="C9" s="57">
        <v>13</v>
      </c>
      <c r="D9" s="351">
        <v>14.1</v>
      </c>
      <c r="E9" s="26">
        <f>25/13</f>
        <v>1.9230769230769231</v>
      </c>
      <c r="F9" s="6">
        <f>48/13</f>
        <v>3.6923076923076925</v>
      </c>
      <c r="G9" s="175">
        <v>52.1</v>
      </c>
      <c r="H9" s="30">
        <f>35/13</f>
        <v>2.6923076923076925</v>
      </c>
      <c r="I9" s="6">
        <f>89/13</f>
        <v>6.8461538461538458</v>
      </c>
      <c r="J9" s="167">
        <v>39.299999999999997</v>
      </c>
      <c r="K9" s="26">
        <f>28/13</f>
        <v>2.1538461538461537</v>
      </c>
      <c r="L9" s="6">
        <f>44/13</f>
        <v>3.3846153846153846</v>
      </c>
      <c r="M9" s="167">
        <v>63.6</v>
      </c>
      <c r="N9" s="26">
        <v>3</v>
      </c>
      <c r="O9" s="7">
        <v>0.8</v>
      </c>
      <c r="P9" s="27">
        <v>3.8</v>
      </c>
      <c r="Q9" s="287">
        <v>2.1</v>
      </c>
      <c r="R9" s="250">
        <v>0.1</v>
      </c>
      <c r="S9" s="49">
        <v>1.6</v>
      </c>
      <c r="T9" s="23">
        <v>1.2</v>
      </c>
      <c r="U9" s="49">
        <v>2.1</v>
      </c>
      <c r="V9" s="100" t="s">
        <v>28</v>
      </c>
      <c r="W9" s="57" t="s">
        <v>71</v>
      </c>
      <c r="X9" s="232">
        <v>13.9</v>
      </c>
    </row>
    <row r="10" spans="1:24" ht="18.75" customHeight="1">
      <c r="A10" s="127" t="s">
        <v>390</v>
      </c>
      <c r="B10" s="51" t="s">
        <v>33</v>
      </c>
      <c r="C10" s="56">
        <v>9</v>
      </c>
      <c r="D10" s="209">
        <v>12.6</v>
      </c>
      <c r="E10" s="25">
        <f>20/9</f>
        <v>2.2222222222222223</v>
      </c>
      <c r="F10" s="12">
        <f>40/9</f>
        <v>4.4444444444444446</v>
      </c>
      <c r="G10" s="174">
        <v>50</v>
      </c>
      <c r="H10" s="29">
        <f>18/9</f>
        <v>2</v>
      </c>
      <c r="I10" s="12">
        <f>53/9</f>
        <v>5.8888888888888893</v>
      </c>
      <c r="J10" s="216">
        <v>34</v>
      </c>
      <c r="K10" s="25">
        <f>19/9</f>
        <v>2.1111111111111112</v>
      </c>
      <c r="L10" s="12">
        <f>25/9</f>
        <v>2.7777777777777777</v>
      </c>
      <c r="M10" s="216">
        <v>76</v>
      </c>
      <c r="N10" s="25">
        <v>4</v>
      </c>
      <c r="O10" s="12">
        <v>0.9</v>
      </c>
      <c r="P10" s="33">
        <v>4.9000000000000004</v>
      </c>
      <c r="Q10" s="288">
        <v>1.9</v>
      </c>
      <c r="R10" s="249">
        <v>2</v>
      </c>
      <c r="S10" s="47">
        <v>1.6</v>
      </c>
      <c r="T10" s="22">
        <v>0.2</v>
      </c>
      <c r="U10" s="25">
        <v>2.7</v>
      </c>
      <c r="V10" s="99" t="s">
        <v>28</v>
      </c>
      <c r="W10" s="56" t="s">
        <v>391</v>
      </c>
      <c r="X10" s="233">
        <v>12.4</v>
      </c>
    </row>
    <row r="11" spans="1:24" ht="18.75" customHeight="1">
      <c r="A11" s="94" t="s">
        <v>392</v>
      </c>
      <c r="B11" s="52" t="s">
        <v>27</v>
      </c>
      <c r="C11" s="57">
        <v>16</v>
      </c>
      <c r="D11" s="351">
        <v>13.4</v>
      </c>
      <c r="E11" s="26">
        <f>65/16</f>
        <v>4.0625</v>
      </c>
      <c r="F11" s="6">
        <f>113/16</f>
        <v>7.0625</v>
      </c>
      <c r="G11" s="177">
        <v>57.5</v>
      </c>
      <c r="H11" s="30">
        <f>15/16</f>
        <v>0.9375</v>
      </c>
      <c r="I11" s="6">
        <f>61/16</f>
        <v>3.8125</v>
      </c>
      <c r="J11" s="217">
        <v>24.6</v>
      </c>
      <c r="K11" s="26">
        <f>39/16</f>
        <v>2.4375</v>
      </c>
      <c r="L11" s="6">
        <f>54/16</f>
        <v>3.375</v>
      </c>
      <c r="M11" s="166">
        <v>72.2</v>
      </c>
      <c r="N11" s="26">
        <v>3.7</v>
      </c>
      <c r="O11" s="7">
        <v>1.7</v>
      </c>
      <c r="P11" s="27">
        <v>5.4</v>
      </c>
      <c r="Q11" s="287">
        <v>1.3</v>
      </c>
      <c r="R11" s="57">
        <v>0.2</v>
      </c>
      <c r="S11" s="26">
        <v>2.2000000000000002</v>
      </c>
      <c r="T11" s="103">
        <v>1.1000000000000001</v>
      </c>
      <c r="U11" s="26">
        <v>2</v>
      </c>
      <c r="V11" s="100" t="s">
        <v>28</v>
      </c>
      <c r="W11" s="57" t="s">
        <v>393</v>
      </c>
      <c r="X11" s="232">
        <v>12.3</v>
      </c>
    </row>
    <row r="12" spans="1:24" ht="18.75" customHeight="1">
      <c r="A12" s="127" t="s">
        <v>394</v>
      </c>
      <c r="B12" s="51" t="s">
        <v>59</v>
      </c>
      <c r="C12" s="56">
        <v>24</v>
      </c>
      <c r="D12" s="211">
        <v>14.7</v>
      </c>
      <c r="E12" s="25">
        <f>64/24</f>
        <v>2.6666666666666665</v>
      </c>
      <c r="F12" s="12">
        <f>149/24</f>
        <v>6.208333333333333</v>
      </c>
      <c r="G12" s="174">
        <v>43</v>
      </c>
      <c r="H12" s="29">
        <f>52/24</f>
        <v>2.1666666666666665</v>
      </c>
      <c r="I12" s="12">
        <f>143/24</f>
        <v>5.958333333333333</v>
      </c>
      <c r="J12" s="216">
        <v>36.4</v>
      </c>
      <c r="K12" s="25">
        <f>68/24</f>
        <v>2.8333333333333335</v>
      </c>
      <c r="L12" s="12">
        <f>91/24</f>
        <v>3.7916666666666665</v>
      </c>
      <c r="M12" s="216">
        <v>74.7</v>
      </c>
      <c r="N12" s="25">
        <v>3.2</v>
      </c>
      <c r="O12" s="15">
        <v>0.6</v>
      </c>
      <c r="P12" s="33">
        <v>3.8</v>
      </c>
      <c r="Q12" s="288">
        <v>2.4</v>
      </c>
      <c r="R12" s="249">
        <v>0.3</v>
      </c>
      <c r="S12" s="25">
        <v>2</v>
      </c>
      <c r="T12" s="102">
        <v>0.6</v>
      </c>
      <c r="U12" s="25">
        <v>2.2000000000000002</v>
      </c>
      <c r="V12" s="99" t="s">
        <v>28</v>
      </c>
      <c r="W12" s="56" t="s">
        <v>272</v>
      </c>
      <c r="X12" s="235">
        <v>11.9</v>
      </c>
    </row>
    <row r="13" spans="1:24" ht="18.75" customHeight="1">
      <c r="A13" s="94" t="s">
        <v>395</v>
      </c>
      <c r="B13" s="52" t="s">
        <v>27</v>
      </c>
      <c r="C13" s="57">
        <v>24</v>
      </c>
      <c r="D13" s="210">
        <v>7.4</v>
      </c>
      <c r="E13" s="26">
        <f>70/24</f>
        <v>2.9166666666666665</v>
      </c>
      <c r="F13" s="6">
        <f>121/24</f>
        <v>5.041666666666667</v>
      </c>
      <c r="G13" s="177">
        <v>57.9</v>
      </c>
      <c r="H13" s="282">
        <v>0</v>
      </c>
      <c r="I13" s="6">
        <f>4/24</f>
        <v>0.16666666666666666</v>
      </c>
      <c r="J13" s="217">
        <v>0</v>
      </c>
      <c r="K13" s="26">
        <f>37/24</f>
        <v>1.5416666666666667</v>
      </c>
      <c r="L13" s="6">
        <f>70/24</f>
        <v>2.9166666666666665</v>
      </c>
      <c r="M13" s="167">
        <v>52.9</v>
      </c>
      <c r="N13" s="49">
        <v>3.7</v>
      </c>
      <c r="O13" s="6">
        <v>2.2000000000000002</v>
      </c>
      <c r="P13" s="27">
        <v>5.9</v>
      </c>
      <c r="Q13" s="285">
        <v>0.8</v>
      </c>
      <c r="R13" s="97">
        <v>1.4</v>
      </c>
      <c r="S13" s="49">
        <v>1.1000000000000001</v>
      </c>
      <c r="T13" s="23">
        <v>1.1000000000000001</v>
      </c>
      <c r="U13" s="26">
        <v>3</v>
      </c>
      <c r="V13" s="100" t="s">
        <v>28</v>
      </c>
      <c r="W13" s="57" t="s">
        <v>396</v>
      </c>
      <c r="X13" s="234">
        <v>10.4</v>
      </c>
    </row>
    <row r="14" spans="1:24" ht="18.75" customHeight="1">
      <c r="A14" s="127" t="s">
        <v>397</v>
      </c>
      <c r="B14" s="51" t="s">
        <v>27</v>
      </c>
      <c r="C14" s="56">
        <v>24</v>
      </c>
      <c r="D14" s="211">
        <v>8.8000000000000007</v>
      </c>
      <c r="E14" s="25">
        <f>51/24</f>
        <v>2.125</v>
      </c>
      <c r="F14" s="12">
        <f>90/24</f>
        <v>3.75</v>
      </c>
      <c r="G14" s="176">
        <v>56.7</v>
      </c>
      <c r="H14" s="29">
        <f>32/24</f>
        <v>1.3333333333333333</v>
      </c>
      <c r="I14" s="12">
        <f>93/24</f>
        <v>3.875</v>
      </c>
      <c r="J14" s="216">
        <v>34.4</v>
      </c>
      <c r="K14" s="25">
        <f>14/24</f>
        <v>0.58333333333333337</v>
      </c>
      <c r="L14" s="12">
        <f>18/24</f>
        <v>0.75</v>
      </c>
      <c r="M14" s="216">
        <v>77.8</v>
      </c>
      <c r="N14" s="47">
        <v>2.5</v>
      </c>
      <c r="O14" s="11">
        <v>0.6</v>
      </c>
      <c r="P14" s="33">
        <v>3.2</v>
      </c>
      <c r="Q14" s="286">
        <v>1.3</v>
      </c>
      <c r="R14" s="56">
        <v>0.3</v>
      </c>
      <c r="S14" s="47">
        <v>0.9</v>
      </c>
      <c r="T14" s="22">
        <v>0.7</v>
      </c>
      <c r="U14" s="47">
        <v>1.8</v>
      </c>
      <c r="V14" s="99" t="s">
        <v>28</v>
      </c>
      <c r="W14" s="56" t="s">
        <v>370</v>
      </c>
      <c r="X14" s="235">
        <v>8.3000000000000007</v>
      </c>
    </row>
    <row r="15" spans="1:24" ht="18.75" customHeight="1">
      <c r="A15" s="94" t="s">
        <v>398</v>
      </c>
      <c r="B15" s="52" t="s">
        <v>27</v>
      </c>
      <c r="C15" s="57">
        <v>21</v>
      </c>
      <c r="D15" s="351">
        <v>3.1</v>
      </c>
      <c r="E15" s="26">
        <f>20/21</f>
        <v>0.95238095238095233</v>
      </c>
      <c r="F15" s="6">
        <v>2</v>
      </c>
      <c r="G15" s="175">
        <v>47.6</v>
      </c>
      <c r="H15" s="282">
        <v>0</v>
      </c>
      <c r="I15" s="8">
        <v>0</v>
      </c>
      <c r="J15" s="217">
        <v>0</v>
      </c>
      <c r="K15" s="339">
        <f>26/21</f>
        <v>1.2380952380952381</v>
      </c>
      <c r="L15" s="6">
        <f>41/21</f>
        <v>1.9523809523809523</v>
      </c>
      <c r="M15" s="345">
        <v>63.4</v>
      </c>
      <c r="N15" s="49">
        <v>1.4</v>
      </c>
      <c r="O15" s="6">
        <v>1.1000000000000001</v>
      </c>
      <c r="P15" s="27">
        <v>2.6</v>
      </c>
      <c r="Q15" s="285">
        <v>0</v>
      </c>
      <c r="R15" s="57">
        <v>0.4</v>
      </c>
      <c r="S15" s="49">
        <v>0.9</v>
      </c>
      <c r="T15" s="23">
        <v>0.1</v>
      </c>
      <c r="U15" s="26">
        <v>1.4</v>
      </c>
      <c r="V15" s="100" t="s">
        <v>28</v>
      </c>
      <c r="W15" s="57" t="s">
        <v>399</v>
      </c>
      <c r="X15" s="234">
        <v>3.4</v>
      </c>
    </row>
    <row r="16" spans="1:24" ht="18.75" customHeight="1">
      <c r="A16" s="127" t="s">
        <v>400</v>
      </c>
      <c r="B16" s="51" t="s">
        <v>59</v>
      </c>
      <c r="C16" s="56">
        <v>19</v>
      </c>
      <c r="D16" s="209">
        <v>2.8</v>
      </c>
      <c r="E16" s="25">
        <f>16/19</f>
        <v>0.84210526315789469</v>
      </c>
      <c r="F16" s="12">
        <f>31/19</f>
        <v>1.631578947368421</v>
      </c>
      <c r="G16" s="176">
        <v>51.6</v>
      </c>
      <c r="H16" s="283">
        <f>1/19</f>
        <v>5.2631578947368418E-2</v>
      </c>
      <c r="I16" s="12">
        <f>14/19</f>
        <v>0.73684210526315785</v>
      </c>
      <c r="J16" s="216">
        <v>7.1</v>
      </c>
      <c r="K16" s="25">
        <f>18/19</f>
        <v>0.94736842105263153</v>
      </c>
      <c r="L16" s="12">
        <f>32/19</f>
        <v>1.6842105263157894</v>
      </c>
      <c r="M16" s="165">
        <v>56.3</v>
      </c>
      <c r="N16" s="47">
        <v>0.9</v>
      </c>
      <c r="O16" s="11">
        <v>0.4</v>
      </c>
      <c r="P16" s="33">
        <v>1.4</v>
      </c>
      <c r="Q16" s="288">
        <v>1</v>
      </c>
      <c r="R16" s="56">
        <v>0</v>
      </c>
      <c r="S16" s="47">
        <v>0.3</v>
      </c>
      <c r="T16" s="22">
        <v>0.1</v>
      </c>
      <c r="U16" s="47">
        <v>0.7</v>
      </c>
      <c r="V16" s="99" t="s">
        <v>28</v>
      </c>
      <c r="W16" s="56" t="s">
        <v>197</v>
      </c>
      <c r="X16" s="233">
        <v>3.1</v>
      </c>
    </row>
    <row r="17" spans="1:35" ht="18.75" customHeight="1">
      <c r="A17" s="94" t="s">
        <v>401</v>
      </c>
      <c r="B17" s="52" t="s">
        <v>59</v>
      </c>
      <c r="C17" s="57">
        <v>23</v>
      </c>
      <c r="D17" s="210">
        <v>3.6</v>
      </c>
      <c r="E17" s="26">
        <f>18/23</f>
        <v>0.78260869565217395</v>
      </c>
      <c r="F17" s="6">
        <f>34/23</f>
        <v>1.4782608695652173</v>
      </c>
      <c r="G17" s="177">
        <v>52.9</v>
      </c>
      <c r="H17" s="30">
        <f>13/23</f>
        <v>0.56521739130434778</v>
      </c>
      <c r="I17" s="6">
        <f>46/23</f>
        <v>2</v>
      </c>
      <c r="J17" s="167">
        <v>28.3</v>
      </c>
      <c r="K17" s="26">
        <f>8/23</f>
        <v>0.34782608695652173</v>
      </c>
      <c r="L17" s="6">
        <f>14/23</f>
        <v>0.60869565217391308</v>
      </c>
      <c r="M17" s="167">
        <v>57.1</v>
      </c>
      <c r="N17" s="49">
        <v>1.4</v>
      </c>
      <c r="O17" s="7">
        <v>0.6</v>
      </c>
      <c r="P17" s="27">
        <v>2</v>
      </c>
      <c r="Q17" s="287">
        <v>0.3</v>
      </c>
      <c r="R17" s="250">
        <v>0.1</v>
      </c>
      <c r="S17" s="26">
        <v>0.7</v>
      </c>
      <c r="T17" s="23">
        <v>0.7</v>
      </c>
      <c r="U17" s="49">
        <v>1.9</v>
      </c>
      <c r="V17" s="100" t="s">
        <v>28</v>
      </c>
      <c r="W17" s="57" t="s">
        <v>93</v>
      </c>
      <c r="X17" s="232">
        <v>2.2999999999999998</v>
      </c>
    </row>
    <row r="18" spans="1:35" ht="18.75" customHeight="1">
      <c r="A18" s="127" t="s">
        <v>402</v>
      </c>
      <c r="B18" s="51" t="s">
        <v>27</v>
      </c>
      <c r="C18" s="56">
        <v>21</v>
      </c>
      <c r="D18" s="211">
        <v>2.2999999999999998</v>
      </c>
      <c r="E18" s="25">
        <f>13/21</f>
        <v>0.61904761904761907</v>
      </c>
      <c r="F18" s="12">
        <f>25/21</f>
        <v>1.1904761904761905</v>
      </c>
      <c r="G18" s="174">
        <v>52</v>
      </c>
      <c r="H18" s="29">
        <f>4/21</f>
        <v>0.19047619047619047</v>
      </c>
      <c r="I18" s="12">
        <f>28/21</f>
        <v>1.3333333333333333</v>
      </c>
      <c r="J18" s="216">
        <v>14.3</v>
      </c>
      <c r="K18" s="25">
        <f>11/21</f>
        <v>0.52380952380952384</v>
      </c>
      <c r="L18" s="12">
        <f>14/21</f>
        <v>0.66666666666666663</v>
      </c>
      <c r="M18" s="216">
        <v>78.599999999999994</v>
      </c>
      <c r="N18" s="25">
        <v>1</v>
      </c>
      <c r="O18" s="12">
        <v>0.2</v>
      </c>
      <c r="P18" s="33">
        <v>1.2</v>
      </c>
      <c r="Q18" s="354">
        <v>0.5</v>
      </c>
      <c r="R18" s="56">
        <v>0.1</v>
      </c>
      <c r="S18" s="25">
        <v>0.7</v>
      </c>
      <c r="T18" s="22">
        <v>0.5</v>
      </c>
      <c r="U18" s="47">
        <v>1.4</v>
      </c>
      <c r="V18" s="99" t="s">
        <v>28</v>
      </c>
      <c r="W18" s="56" t="s">
        <v>199</v>
      </c>
      <c r="X18" s="235">
        <v>1.6</v>
      </c>
    </row>
    <row r="19" spans="1:35" ht="18.75" customHeight="1">
      <c r="A19" s="94" t="s">
        <v>403</v>
      </c>
      <c r="B19" s="52" t="s">
        <v>27</v>
      </c>
      <c r="C19" s="57">
        <v>12</v>
      </c>
      <c r="D19" s="351">
        <v>2.8</v>
      </c>
      <c r="E19" s="26">
        <f>15/12</f>
        <v>1.25</v>
      </c>
      <c r="F19" s="6">
        <f>37/12</f>
        <v>3.0833333333333335</v>
      </c>
      <c r="G19" s="177">
        <v>40.5</v>
      </c>
      <c r="H19" s="282">
        <v>0</v>
      </c>
      <c r="I19" s="6">
        <f>11/12</f>
        <v>0.91666666666666663</v>
      </c>
      <c r="J19" s="217">
        <v>0</v>
      </c>
      <c r="K19" s="26">
        <f>4/12</f>
        <v>0.33333333333333331</v>
      </c>
      <c r="L19" s="6">
        <f>6/12</f>
        <v>0.5</v>
      </c>
      <c r="M19" s="167">
        <v>66.7</v>
      </c>
      <c r="N19" s="49">
        <v>1.3</v>
      </c>
      <c r="O19" s="7">
        <v>0.8</v>
      </c>
      <c r="P19" s="27">
        <v>2.2000000000000002</v>
      </c>
      <c r="Q19" s="287">
        <v>0.7</v>
      </c>
      <c r="R19" s="57">
        <v>0.1</v>
      </c>
      <c r="S19" s="26">
        <v>0.9</v>
      </c>
      <c r="T19" s="23">
        <v>0.3</v>
      </c>
      <c r="U19" s="49">
        <v>2.6</v>
      </c>
      <c r="V19" s="100" t="s">
        <v>28</v>
      </c>
      <c r="W19" s="57" t="s">
        <v>404</v>
      </c>
      <c r="X19" s="232">
        <v>1.4</v>
      </c>
    </row>
    <row r="20" spans="1:35" ht="18.75" customHeight="1">
      <c r="A20" s="128" t="s">
        <v>405</v>
      </c>
      <c r="B20" s="75" t="s">
        <v>27</v>
      </c>
      <c r="C20" s="73">
        <v>3</v>
      </c>
      <c r="D20" s="357">
        <v>0</v>
      </c>
      <c r="E20" s="358">
        <v>0</v>
      </c>
      <c r="F20" s="359">
        <v>0</v>
      </c>
      <c r="G20" s="224">
        <v>0</v>
      </c>
      <c r="H20" s="347">
        <v>0</v>
      </c>
      <c r="I20" s="69">
        <v>0.3</v>
      </c>
      <c r="J20" s="225">
        <v>0</v>
      </c>
      <c r="K20" s="358">
        <v>0</v>
      </c>
      <c r="L20" s="359">
        <v>0</v>
      </c>
      <c r="M20" s="168">
        <v>0</v>
      </c>
      <c r="N20" s="74">
        <v>0</v>
      </c>
      <c r="O20" s="72">
        <v>0.7</v>
      </c>
      <c r="P20" s="242">
        <v>0.7</v>
      </c>
      <c r="Q20" s="295">
        <v>0</v>
      </c>
      <c r="R20" s="73">
        <v>1.3</v>
      </c>
      <c r="S20" s="74">
        <v>0.3</v>
      </c>
      <c r="T20" s="360">
        <v>0</v>
      </c>
      <c r="U20" s="74">
        <v>0.3</v>
      </c>
      <c r="V20" s="243" t="s">
        <v>28</v>
      </c>
      <c r="W20" s="73" t="s">
        <v>406</v>
      </c>
      <c r="X20" s="240">
        <v>0</v>
      </c>
    </row>
    <row r="21" spans="1:35" s="2" customFormat="1" ht="18.75" customHeight="1">
      <c r="A21" s="448" t="s">
        <v>407</v>
      </c>
      <c r="B21" s="449"/>
      <c r="C21" s="321">
        <v>25</v>
      </c>
      <c r="D21" s="361">
        <v>79.8</v>
      </c>
      <c r="E21" s="323">
        <v>21.3</v>
      </c>
      <c r="F21" s="259">
        <f>1001/25</f>
        <v>40.04</v>
      </c>
      <c r="G21" s="257">
        <v>53.1</v>
      </c>
      <c r="H21" s="258">
        <f>199/25</f>
        <v>7.96</v>
      </c>
      <c r="I21" s="259">
        <f>629/25</f>
        <v>25.16</v>
      </c>
      <c r="J21" s="260">
        <v>31.6</v>
      </c>
      <c r="K21" s="323">
        <f>334/25</f>
        <v>13.36</v>
      </c>
      <c r="L21" s="259">
        <f>500/25</f>
        <v>20</v>
      </c>
      <c r="M21" s="260">
        <v>66.8</v>
      </c>
      <c r="N21" s="261">
        <v>25.6</v>
      </c>
      <c r="O21" s="262">
        <v>9.6</v>
      </c>
      <c r="P21" s="263">
        <v>35.200000000000003</v>
      </c>
      <c r="Q21" s="362">
        <v>13</v>
      </c>
      <c r="R21" s="321">
        <v>3.5</v>
      </c>
      <c r="S21" s="323">
        <v>12</v>
      </c>
      <c r="T21" s="267">
        <v>6.9</v>
      </c>
      <c r="U21" s="323">
        <v>19</v>
      </c>
      <c r="V21" s="324"/>
      <c r="W21" s="325"/>
      <c r="X21" s="326">
        <v>80.900000000000006</v>
      </c>
      <c r="Y21"/>
      <c r="Z21"/>
    </row>
    <row r="22" spans="1:35" s="2" customFormat="1" ht="18.75" customHeight="1">
      <c r="A22" s="493" t="s">
        <v>62</v>
      </c>
      <c r="B22" s="519"/>
      <c r="C22" s="337">
        <v>25</v>
      </c>
      <c r="D22" s="355">
        <v>80.5</v>
      </c>
      <c r="E22" s="521"/>
      <c r="F22" s="495"/>
      <c r="G22" s="329">
        <v>50.8</v>
      </c>
      <c r="H22" s="520"/>
      <c r="I22" s="496"/>
      <c r="J22" s="327">
        <v>33.299999999999997</v>
      </c>
      <c r="K22" s="496"/>
      <c r="L22" s="496"/>
      <c r="M22" s="496"/>
      <c r="N22" s="496"/>
      <c r="O22" s="496"/>
      <c r="P22" s="496"/>
      <c r="Q22" s="496"/>
      <c r="R22" s="496"/>
      <c r="S22" s="496"/>
      <c r="T22" s="496"/>
      <c r="U22" s="496"/>
      <c r="V22" s="496"/>
      <c r="W22" s="496"/>
      <c r="X22" s="497"/>
      <c r="Y22"/>
      <c r="Z22"/>
    </row>
    <row r="23" spans="1:35" s="2" customFormat="1" ht="18.75" customHeight="1">
      <c r="A23" s="437" t="s">
        <v>408</v>
      </c>
      <c r="B23" s="437"/>
      <c r="C23" s="437"/>
      <c r="D23" s="437"/>
      <c r="E23" s="437"/>
      <c r="F23" s="437"/>
      <c r="G23" s="437"/>
      <c r="H23" s="437"/>
      <c r="I23" s="437"/>
      <c r="J23" s="437"/>
      <c r="K23" s="437"/>
      <c r="L23" s="437"/>
      <c r="M23" s="437"/>
      <c r="N23" s="437"/>
      <c r="O23" s="437"/>
      <c r="P23" s="437"/>
      <c r="Q23" s="437"/>
      <c r="R23" s="437"/>
      <c r="S23" s="437"/>
      <c r="T23" s="437"/>
      <c r="U23" s="437"/>
      <c r="V23" s="437"/>
      <c r="W23" s="437"/>
      <c r="X23" s="437"/>
      <c r="Y23"/>
      <c r="Z23"/>
    </row>
    <row r="24" spans="1:35" s="2" customFormat="1" ht="18.75" customHeight="1">
      <c r="A24" s="432" t="s">
        <v>409</v>
      </c>
      <c r="B24" s="432"/>
      <c r="C24" s="432"/>
      <c r="D24" s="432"/>
      <c r="E24" s="432"/>
      <c r="F24" s="432"/>
      <c r="G24" s="432"/>
      <c r="H24" s="432"/>
      <c r="I24" s="432"/>
      <c r="J24" s="432"/>
      <c r="K24" s="432"/>
      <c r="L24" s="432"/>
      <c r="M24" s="432"/>
      <c r="N24" s="432"/>
      <c r="O24" s="432"/>
      <c r="P24" s="432"/>
      <c r="Q24" s="432"/>
      <c r="R24" s="432"/>
      <c r="S24" s="432"/>
      <c r="T24" s="432"/>
      <c r="U24" s="432"/>
      <c r="V24" s="432"/>
      <c r="W24" s="432"/>
      <c r="X24" s="432"/>
      <c r="Y24"/>
    </row>
    <row r="25" spans="1:35" s="2" customFormat="1" ht="18.75" customHeight="1">
      <c r="A25" s="433" t="s">
        <v>65</v>
      </c>
      <c r="B25" s="433"/>
      <c r="C25" s="433"/>
      <c r="D25" s="433"/>
      <c r="E25" s="433"/>
      <c r="F25" s="433"/>
      <c r="G25" s="433"/>
      <c r="H25" s="433"/>
      <c r="I25" s="433"/>
      <c r="J25" s="433"/>
      <c r="K25" s="433"/>
      <c r="L25" s="433"/>
      <c r="M25" s="433"/>
      <c r="N25" s="433"/>
      <c r="O25" s="433"/>
      <c r="P25" s="433"/>
      <c r="Q25" s="433"/>
      <c r="R25" s="433"/>
      <c r="S25" s="433"/>
      <c r="T25" s="433"/>
      <c r="U25" s="433"/>
      <c r="V25" s="433"/>
      <c r="W25" s="433"/>
      <c r="X25" s="433"/>
      <c r="Y25"/>
      <c r="AI25" s="3"/>
    </row>
  </sheetData>
  <mergeCells count="26">
    <mergeCell ref="E5:G5"/>
    <mergeCell ref="H5:J5"/>
    <mergeCell ref="A21:B21"/>
    <mergeCell ref="A22:B22"/>
    <mergeCell ref="A23:X23"/>
    <mergeCell ref="C5:C6"/>
    <mergeCell ref="Q5:Q6"/>
    <mergeCell ref="K22:X22"/>
    <mergeCell ref="H22:I22"/>
    <mergeCell ref="E22:F22"/>
    <mergeCell ref="A24:X24"/>
    <mergeCell ref="A25:X25"/>
    <mergeCell ref="A1:A4"/>
    <mergeCell ref="A5:A6"/>
    <mergeCell ref="B1:S2"/>
    <mergeCell ref="T1:X4"/>
    <mergeCell ref="B3:S4"/>
    <mergeCell ref="X5:X6"/>
    <mergeCell ref="N5:P5"/>
    <mergeCell ref="R5:R6"/>
    <mergeCell ref="B5:B6"/>
    <mergeCell ref="U5:V5"/>
    <mergeCell ref="W5:W6"/>
    <mergeCell ref="D5:D6"/>
    <mergeCell ref="K5:M5"/>
    <mergeCell ref="S5:T5"/>
  </mergeCells>
  <pageMargins left="0.25" right="0.25" top="0.75" bottom="0.75" header="0.3" footer="0.3"/>
  <pageSetup paperSize="5" orientation="landscape" horizontalDpi="1200" verticalDpi="1200" r:id="rId1"/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499984740745262"/>
  </sheetPr>
  <dimension ref="A1:AI25"/>
  <sheetViews>
    <sheetView zoomScale="106" zoomScaleNormal="106" workbookViewId="0">
      <selection activeCell="B1" sqref="B1:S2"/>
    </sheetView>
  </sheetViews>
  <sheetFormatPr defaultColWidth="9.140625" defaultRowHeight="15"/>
  <cols>
    <col min="1" max="1" width="25.140625" customWidth="1"/>
    <col min="2" max="2" width="7.28515625" customWidth="1"/>
    <col min="3" max="3" width="5.7109375" style="1" customWidth="1"/>
    <col min="4" max="4" width="6.140625" style="1" customWidth="1"/>
    <col min="5" max="23" width="5.7109375" style="1" customWidth="1"/>
    <col min="24" max="24" width="6.140625" style="1" customWidth="1"/>
    <col min="25" max="255" width="11.42578125" customWidth="1"/>
  </cols>
  <sheetData>
    <row r="1" spans="1:24" ht="14.25" customHeight="1">
      <c r="A1" s="525"/>
      <c r="B1" s="421" t="s">
        <v>410</v>
      </c>
      <c r="C1" s="421"/>
      <c r="D1" s="421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1"/>
      <c r="Q1" s="421"/>
      <c r="R1" s="421"/>
      <c r="S1" s="421"/>
      <c r="T1" s="409"/>
      <c r="U1" s="409"/>
      <c r="V1" s="409"/>
      <c r="W1" s="409"/>
      <c r="X1" s="410"/>
    </row>
    <row r="2" spans="1:24" ht="14.25" customHeight="1">
      <c r="A2" s="526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11"/>
      <c r="U2" s="411"/>
      <c r="V2" s="411"/>
      <c r="W2" s="411"/>
      <c r="X2" s="412"/>
    </row>
    <row r="3" spans="1:24" ht="15" customHeight="1">
      <c r="A3" s="526"/>
      <c r="B3" s="524" t="s">
        <v>411</v>
      </c>
      <c r="C3" s="524"/>
      <c r="D3" s="524"/>
      <c r="E3" s="524"/>
      <c r="F3" s="524"/>
      <c r="G3" s="524"/>
      <c r="H3" s="524"/>
      <c r="I3" s="524"/>
      <c r="J3" s="524"/>
      <c r="K3" s="524"/>
      <c r="L3" s="524"/>
      <c r="M3" s="524"/>
      <c r="N3" s="524"/>
      <c r="O3" s="524"/>
      <c r="P3" s="524"/>
      <c r="Q3" s="524"/>
      <c r="R3" s="524"/>
      <c r="S3" s="524"/>
      <c r="T3" s="411"/>
      <c r="U3" s="411"/>
      <c r="V3" s="411"/>
      <c r="W3" s="411"/>
      <c r="X3" s="412"/>
    </row>
    <row r="4" spans="1:24" ht="15.75" customHeight="1">
      <c r="A4" s="526"/>
      <c r="B4" s="524"/>
      <c r="C4" s="524"/>
      <c r="D4" s="524"/>
      <c r="E4" s="524"/>
      <c r="F4" s="524"/>
      <c r="G4" s="524"/>
      <c r="H4" s="524"/>
      <c r="I4" s="524"/>
      <c r="J4" s="524"/>
      <c r="K4" s="524"/>
      <c r="L4" s="524"/>
      <c r="M4" s="524"/>
      <c r="N4" s="524"/>
      <c r="O4" s="524"/>
      <c r="P4" s="524"/>
      <c r="Q4" s="524"/>
      <c r="R4" s="524"/>
      <c r="S4" s="524"/>
      <c r="T4" s="411"/>
      <c r="U4" s="411"/>
      <c r="V4" s="411"/>
      <c r="W4" s="411"/>
      <c r="X4" s="412"/>
    </row>
    <row r="5" spans="1:24" ht="15" customHeight="1">
      <c r="A5" s="413" t="s">
        <v>2</v>
      </c>
      <c r="B5" s="430" t="s">
        <v>3</v>
      </c>
      <c r="C5" s="415" t="s">
        <v>4</v>
      </c>
      <c r="D5" s="468" t="s">
        <v>5</v>
      </c>
      <c r="E5" s="434" t="s">
        <v>6</v>
      </c>
      <c r="F5" s="435"/>
      <c r="G5" s="427"/>
      <c r="H5" s="426" t="s">
        <v>7</v>
      </c>
      <c r="I5" s="435"/>
      <c r="J5" s="430"/>
      <c r="K5" s="434" t="s">
        <v>8</v>
      </c>
      <c r="L5" s="435"/>
      <c r="M5" s="427"/>
      <c r="N5" s="428" t="s">
        <v>9</v>
      </c>
      <c r="O5" s="439"/>
      <c r="P5" s="429"/>
      <c r="Q5" s="415" t="s">
        <v>10</v>
      </c>
      <c r="R5" s="468" t="s">
        <v>11</v>
      </c>
      <c r="S5" s="434" t="s">
        <v>12</v>
      </c>
      <c r="T5" s="427"/>
      <c r="U5" s="428" t="s">
        <v>13</v>
      </c>
      <c r="V5" s="429"/>
      <c r="W5" s="475" t="s">
        <v>14</v>
      </c>
      <c r="X5" s="468" t="s">
        <v>15</v>
      </c>
    </row>
    <row r="6" spans="1:24" ht="15" customHeight="1">
      <c r="A6" s="414"/>
      <c r="B6" s="431"/>
      <c r="C6" s="416"/>
      <c r="D6" s="438"/>
      <c r="E6" s="135" t="s">
        <v>16</v>
      </c>
      <c r="F6" s="134" t="s">
        <v>17</v>
      </c>
      <c r="G6" s="136" t="s">
        <v>18</v>
      </c>
      <c r="H6" s="133" t="s">
        <v>16</v>
      </c>
      <c r="I6" s="134" t="s">
        <v>17</v>
      </c>
      <c r="J6" s="132" t="s">
        <v>18</v>
      </c>
      <c r="K6" s="135" t="s">
        <v>16</v>
      </c>
      <c r="L6" s="134" t="s">
        <v>17</v>
      </c>
      <c r="M6" s="136" t="s">
        <v>18</v>
      </c>
      <c r="N6" s="145" t="s">
        <v>19</v>
      </c>
      <c r="O6" s="141" t="s">
        <v>20</v>
      </c>
      <c r="P6" s="146" t="s">
        <v>21</v>
      </c>
      <c r="Q6" s="416"/>
      <c r="R6" s="438"/>
      <c r="S6" s="135" t="s">
        <v>22</v>
      </c>
      <c r="T6" s="136" t="s">
        <v>23</v>
      </c>
      <c r="U6" s="145" t="s">
        <v>24</v>
      </c>
      <c r="V6" s="146" t="s">
        <v>25</v>
      </c>
      <c r="W6" s="476"/>
      <c r="X6" s="438"/>
    </row>
    <row r="7" spans="1:24" ht="18.75" customHeight="1">
      <c r="A7" s="94" t="s">
        <v>412</v>
      </c>
      <c r="B7" s="52" t="s">
        <v>33</v>
      </c>
      <c r="C7" s="57">
        <v>14</v>
      </c>
      <c r="D7" s="234">
        <v>17.7</v>
      </c>
      <c r="E7" s="30">
        <f>95/14</f>
        <v>6.7857142857142856</v>
      </c>
      <c r="F7" s="6">
        <f>183/14</f>
        <v>13.071428571428571</v>
      </c>
      <c r="G7" s="167">
        <v>51.9</v>
      </c>
      <c r="H7" s="26">
        <f>5/14</f>
        <v>0.35714285714285715</v>
      </c>
      <c r="I7" s="6">
        <f>24/14</f>
        <v>1.7142857142857142</v>
      </c>
      <c r="J7" s="177">
        <v>20.8</v>
      </c>
      <c r="K7" s="30">
        <f>43/14</f>
        <v>3.0714285714285716</v>
      </c>
      <c r="L7" s="6">
        <f>97/14</f>
        <v>6.9285714285714288</v>
      </c>
      <c r="M7" s="217">
        <v>44.3</v>
      </c>
      <c r="N7" s="26">
        <v>6</v>
      </c>
      <c r="O7" s="7">
        <v>2.9</v>
      </c>
      <c r="P7" s="27">
        <v>8.9</v>
      </c>
      <c r="Q7" s="57">
        <v>0.3</v>
      </c>
      <c r="R7" s="44">
        <v>1.5</v>
      </c>
      <c r="S7" s="30">
        <v>2.2999999999999998</v>
      </c>
      <c r="T7" s="23">
        <v>0.6</v>
      </c>
      <c r="U7" s="49">
        <v>1.9</v>
      </c>
      <c r="V7" s="100" t="s">
        <v>28</v>
      </c>
      <c r="W7" s="57" t="s">
        <v>413</v>
      </c>
      <c r="X7" s="232">
        <v>18.100000000000001</v>
      </c>
    </row>
    <row r="8" spans="1:24" ht="18.75" customHeight="1">
      <c r="A8" s="127" t="s">
        <v>414</v>
      </c>
      <c r="B8" s="51" t="s">
        <v>162</v>
      </c>
      <c r="C8" s="56">
        <v>22</v>
      </c>
      <c r="D8" s="233">
        <v>15.1</v>
      </c>
      <c r="E8" s="29">
        <f>104/22</f>
        <v>4.7272727272727275</v>
      </c>
      <c r="F8" s="12">
        <f>217/22</f>
        <v>9.8636363636363633</v>
      </c>
      <c r="G8" s="216">
        <v>47.9</v>
      </c>
      <c r="H8" s="25">
        <f>21/22</f>
        <v>0.95454545454545459</v>
      </c>
      <c r="I8" s="12">
        <f>74/22</f>
        <v>3.3636363636363638</v>
      </c>
      <c r="J8" s="174">
        <v>28.4</v>
      </c>
      <c r="K8" s="29">
        <f>61/22</f>
        <v>2.7727272727272729</v>
      </c>
      <c r="L8" s="12">
        <f>89/22</f>
        <v>4.0454545454545459</v>
      </c>
      <c r="M8" s="216">
        <v>68.5</v>
      </c>
      <c r="N8" s="25">
        <v>1.8</v>
      </c>
      <c r="O8" s="11">
        <v>1.5</v>
      </c>
      <c r="P8" s="33">
        <v>3.3</v>
      </c>
      <c r="Q8" s="56">
        <v>2.7</v>
      </c>
      <c r="R8" s="353">
        <v>0</v>
      </c>
      <c r="S8" s="29">
        <v>2.9</v>
      </c>
      <c r="T8" s="22">
        <v>2.5</v>
      </c>
      <c r="U8" s="25">
        <v>1.6</v>
      </c>
      <c r="V8" s="99" t="s">
        <v>28</v>
      </c>
      <c r="W8" s="56" t="s">
        <v>31</v>
      </c>
      <c r="X8" s="233">
        <v>12.8</v>
      </c>
    </row>
    <row r="9" spans="1:24" ht="18.75" customHeight="1">
      <c r="A9" s="94" t="s">
        <v>415</v>
      </c>
      <c r="B9" s="52" t="s">
        <v>27</v>
      </c>
      <c r="C9" s="57">
        <v>22</v>
      </c>
      <c r="D9" s="232">
        <v>5.5</v>
      </c>
      <c r="E9" s="30">
        <f>21/22</f>
        <v>0.95454545454545459</v>
      </c>
      <c r="F9" s="6">
        <f>58/22</f>
        <v>2.6363636363636362</v>
      </c>
      <c r="G9" s="167">
        <v>36.200000000000003</v>
      </c>
      <c r="H9" s="26">
        <f>23/22</f>
        <v>1.0454545454545454</v>
      </c>
      <c r="I9" s="6">
        <f>72/22</f>
        <v>3.2727272727272729</v>
      </c>
      <c r="J9" s="177">
        <v>31.9</v>
      </c>
      <c r="K9" s="30">
        <f>9/22</f>
        <v>0.40909090909090912</v>
      </c>
      <c r="L9" s="6">
        <f>13/22</f>
        <v>0.59090909090909094</v>
      </c>
      <c r="M9" s="166">
        <v>69.2</v>
      </c>
      <c r="N9" s="26">
        <v>3.5</v>
      </c>
      <c r="O9" s="6">
        <v>1</v>
      </c>
      <c r="P9" s="27">
        <v>4.5</v>
      </c>
      <c r="Q9" s="57">
        <v>2.8</v>
      </c>
      <c r="R9" s="20">
        <v>0.2</v>
      </c>
      <c r="S9" s="30">
        <v>1</v>
      </c>
      <c r="T9" s="103">
        <v>1.9</v>
      </c>
      <c r="U9" s="26">
        <v>2.6</v>
      </c>
      <c r="V9" s="100" t="s">
        <v>28</v>
      </c>
      <c r="W9" s="57" t="s">
        <v>416</v>
      </c>
      <c r="X9" s="232">
        <v>8.6</v>
      </c>
    </row>
    <row r="10" spans="1:24" ht="18.75" customHeight="1">
      <c r="A10" s="127" t="s">
        <v>417</v>
      </c>
      <c r="B10" s="51" t="s">
        <v>27</v>
      </c>
      <c r="C10" s="56">
        <v>18</v>
      </c>
      <c r="D10" s="233">
        <v>7.8</v>
      </c>
      <c r="E10" s="29">
        <f>50/18</f>
        <v>2.7777777777777777</v>
      </c>
      <c r="F10" s="12">
        <f>87/18</f>
        <v>4.833333333333333</v>
      </c>
      <c r="G10" s="165">
        <v>57.5</v>
      </c>
      <c r="H10" s="25">
        <f>7/18</f>
        <v>0.3888888888888889</v>
      </c>
      <c r="I10" s="12">
        <f>32/18</f>
        <v>1.7777777777777777</v>
      </c>
      <c r="J10" s="174">
        <v>21.9</v>
      </c>
      <c r="K10" s="29">
        <f>20/18</f>
        <v>1.1111111111111112</v>
      </c>
      <c r="L10" s="12">
        <f>25/18</f>
        <v>1.3888888888888888</v>
      </c>
      <c r="M10" s="216">
        <v>80</v>
      </c>
      <c r="N10" s="47">
        <v>1.8</v>
      </c>
      <c r="O10" s="12">
        <v>1.8</v>
      </c>
      <c r="P10" s="33">
        <v>3.6</v>
      </c>
      <c r="Q10" s="249">
        <v>1.4</v>
      </c>
      <c r="R10" s="19">
        <v>0.1</v>
      </c>
      <c r="S10" s="42">
        <v>1.2</v>
      </c>
      <c r="T10" s="102">
        <v>0.8</v>
      </c>
      <c r="U10" s="47">
        <v>2.6</v>
      </c>
      <c r="V10" s="99" t="s">
        <v>28</v>
      </c>
      <c r="W10" s="56" t="s">
        <v>199</v>
      </c>
      <c r="X10" s="235">
        <v>7.7</v>
      </c>
    </row>
    <row r="11" spans="1:24" ht="18.75" customHeight="1">
      <c r="A11" s="94" t="s">
        <v>418</v>
      </c>
      <c r="B11" s="52" t="s">
        <v>59</v>
      </c>
      <c r="C11" s="57">
        <v>8</v>
      </c>
      <c r="D11" s="232">
        <v>6.8</v>
      </c>
      <c r="E11" s="30">
        <f>15/8</f>
        <v>1.875</v>
      </c>
      <c r="F11" s="6">
        <f>23/8</f>
        <v>2.875</v>
      </c>
      <c r="G11" s="166">
        <v>65.2</v>
      </c>
      <c r="H11" s="26">
        <f>6/8</f>
        <v>0.75</v>
      </c>
      <c r="I11" s="6">
        <f>26/8</f>
        <v>3.25</v>
      </c>
      <c r="J11" s="177">
        <v>23.1</v>
      </c>
      <c r="K11" s="30">
        <f>6/8</f>
        <v>0.75</v>
      </c>
      <c r="L11" s="6">
        <f>16/8</f>
        <v>2</v>
      </c>
      <c r="M11" s="167">
        <v>37.5</v>
      </c>
      <c r="N11" s="26">
        <v>1.8</v>
      </c>
      <c r="O11" s="7">
        <v>0.8</v>
      </c>
      <c r="P11" s="27">
        <v>2.5</v>
      </c>
      <c r="Q11" s="57">
        <v>0.6</v>
      </c>
      <c r="R11" s="44">
        <v>0.5</v>
      </c>
      <c r="S11" s="43">
        <v>1.3</v>
      </c>
      <c r="T11" s="103">
        <v>1</v>
      </c>
      <c r="U11" s="49">
        <v>2.5</v>
      </c>
      <c r="V11" s="100" t="s">
        <v>28</v>
      </c>
      <c r="W11" s="57" t="s">
        <v>419</v>
      </c>
      <c r="X11" s="232">
        <v>6.1</v>
      </c>
    </row>
    <row r="12" spans="1:24" ht="18.75" customHeight="1">
      <c r="A12" s="127" t="s">
        <v>420</v>
      </c>
      <c r="B12" s="51" t="s">
        <v>27</v>
      </c>
      <c r="C12" s="56">
        <v>20</v>
      </c>
      <c r="D12" s="233">
        <v>5.5</v>
      </c>
      <c r="E12" s="29">
        <v>2.1</v>
      </c>
      <c r="F12" s="12">
        <v>4.3</v>
      </c>
      <c r="G12" s="216">
        <v>48.9</v>
      </c>
      <c r="H12" s="25">
        <f>2/20</f>
        <v>0.1</v>
      </c>
      <c r="I12" s="12">
        <f>16/20</f>
        <v>0.8</v>
      </c>
      <c r="J12" s="174">
        <v>12.5</v>
      </c>
      <c r="K12" s="29">
        <f>16/20</f>
        <v>0.8</v>
      </c>
      <c r="L12" s="12">
        <f>27/20</f>
        <v>1.35</v>
      </c>
      <c r="M12" s="216">
        <v>59.3</v>
      </c>
      <c r="N12" s="47">
        <v>2.1</v>
      </c>
      <c r="O12" s="12">
        <v>1.3</v>
      </c>
      <c r="P12" s="33">
        <v>3.3</v>
      </c>
      <c r="Q12" s="249">
        <v>1.6</v>
      </c>
      <c r="R12" s="353">
        <v>0.3</v>
      </c>
      <c r="S12" s="29">
        <v>2</v>
      </c>
      <c r="T12" s="22">
        <v>1.5</v>
      </c>
      <c r="U12" s="25">
        <v>2.2000000000000002</v>
      </c>
      <c r="V12" s="99" t="s">
        <v>28</v>
      </c>
      <c r="W12" s="56" t="s">
        <v>421</v>
      </c>
      <c r="X12" s="233">
        <v>5.7</v>
      </c>
    </row>
    <row r="13" spans="1:24" ht="18.75" customHeight="1">
      <c r="A13" s="94" t="s">
        <v>422</v>
      </c>
      <c r="B13" s="52" t="s">
        <v>59</v>
      </c>
      <c r="C13" s="57">
        <v>21</v>
      </c>
      <c r="D13" s="232">
        <v>5.0999999999999996</v>
      </c>
      <c r="E13" s="30">
        <f>44/21</f>
        <v>2.0952380952380953</v>
      </c>
      <c r="F13" s="6">
        <f>90/21</f>
        <v>4.2857142857142856</v>
      </c>
      <c r="G13" s="167">
        <v>48.9</v>
      </c>
      <c r="H13" s="32">
        <v>0</v>
      </c>
      <c r="I13" s="6">
        <f>3/21</f>
        <v>0.14285714285714285</v>
      </c>
      <c r="J13" s="237">
        <v>0</v>
      </c>
      <c r="K13" s="338">
        <f>20/21</f>
        <v>0.95238095238095233</v>
      </c>
      <c r="L13" s="6">
        <f>41/21</f>
        <v>1.9523809523809523</v>
      </c>
      <c r="M13" s="167">
        <v>48.8</v>
      </c>
      <c r="N13" s="49">
        <v>2.5</v>
      </c>
      <c r="O13" s="6">
        <v>1.7</v>
      </c>
      <c r="P13" s="27">
        <v>4.2</v>
      </c>
      <c r="Q13" s="250">
        <v>0.9</v>
      </c>
      <c r="R13" s="20">
        <v>0.7</v>
      </c>
      <c r="S13" s="43">
        <v>1.5</v>
      </c>
      <c r="T13" s="23">
        <v>1</v>
      </c>
      <c r="U13" s="26">
        <v>2.6</v>
      </c>
      <c r="V13" s="100" t="s">
        <v>28</v>
      </c>
      <c r="W13" s="57" t="s">
        <v>423</v>
      </c>
      <c r="X13" s="234">
        <v>5.7</v>
      </c>
    </row>
    <row r="14" spans="1:24" ht="18.75" customHeight="1">
      <c r="A14" s="127" t="s">
        <v>424</v>
      </c>
      <c r="B14" s="51" t="s">
        <v>27</v>
      </c>
      <c r="C14" s="56">
        <v>22</v>
      </c>
      <c r="D14" s="235">
        <v>7.2</v>
      </c>
      <c r="E14" s="29">
        <f>17/22</f>
        <v>0.77272727272727271</v>
      </c>
      <c r="F14" s="12">
        <f>57/22</f>
        <v>2.5909090909090908</v>
      </c>
      <c r="G14" s="216">
        <v>29.8</v>
      </c>
      <c r="H14" s="25">
        <f>33/22</f>
        <v>1.5</v>
      </c>
      <c r="I14" s="12">
        <f>115/22</f>
        <v>5.2272727272727275</v>
      </c>
      <c r="J14" s="174">
        <v>28.7</v>
      </c>
      <c r="K14" s="29">
        <f>25/22</f>
        <v>1.1363636363636365</v>
      </c>
      <c r="L14" s="12">
        <f>30/22</f>
        <v>1.3636363636363635</v>
      </c>
      <c r="M14" s="216">
        <v>83.3</v>
      </c>
      <c r="N14" s="25">
        <v>1.8</v>
      </c>
      <c r="O14" s="12">
        <v>0.5</v>
      </c>
      <c r="P14" s="33">
        <v>2.4</v>
      </c>
      <c r="Q14" s="363">
        <v>1.6</v>
      </c>
      <c r="R14" s="19">
        <v>0</v>
      </c>
      <c r="S14" s="29">
        <v>2.1</v>
      </c>
      <c r="T14" s="22">
        <v>1.6</v>
      </c>
      <c r="U14" s="47">
        <v>1.7</v>
      </c>
      <c r="V14" s="99" t="s">
        <v>28</v>
      </c>
      <c r="W14" s="56" t="s">
        <v>143</v>
      </c>
      <c r="X14" s="235">
        <v>4.0999999999999996</v>
      </c>
    </row>
    <row r="15" spans="1:24" ht="18.75" customHeight="1">
      <c r="A15" s="94" t="s">
        <v>425</v>
      </c>
      <c r="B15" s="52" t="s">
        <v>33</v>
      </c>
      <c r="C15" s="57">
        <v>5</v>
      </c>
      <c r="D15" s="234">
        <v>7.2</v>
      </c>
      <c r="E15" s="30">
        <f>12/5</f>
        <v>2.4</v>
      </c>
      <c r="F15" s="6">
        <f>23/5</f>
        <v>4.5999999999999996</v>
      </c>
      <c r="G15" s="166">
        <v>52.2</v>
      </c>
      <c r="H15" s="32">
        <f>1/5</f>
        <v>0.2</v>
      </c>
      <c r="I15" s="6">
        <f>8/5</f>
        <v>1.6</v>
      </c>
      <c r="J15" s="177">
        <v>12.5</v>
      </c>
      <c r="K15" s="30">
        <f>9/5</f>
        <v>1.8</v>
      </c>
      <c r="L15" s="6">
        <f>11/5</f>
        <v>2.2000000000000002</v>
      </c>
      <c r="M15" s="167">
        <v>81.8</v>
      </c>
      <c r="N15" s="26">
        <v>1</v>
      </c>
      <c r="O15" s="7">
        <v>0.2</v>
      </c>
      <c r="P15" s="27">
        <v>1.2</v>
      </c>
      <c r="Q15" s="250">
        <v>1.2</v>
      </c>
      <c r="R15" s="20">
        <v>0</v>
      </c>
      <c r="S15" s="43">
        <v>1.6</v>
      </c>
      <c r="T15" s="23">
        <v>0.6</v>
      </c>
      <c r="U15" s="49">
        <v>2.2000000000000002</v>
      </c>
      <c r="V15" s="100" t="s">
        <v>28</v>
      </c>
      <c r="W15" s="57" t="s">
        <v>426</v>
      </c>
      <c r="X15" s="234">
        <v>3.4</v>
      </c>
    </row>
    <row r="16" spans="1:24" ht="18.75" customHeight="1">
      <c r="A16" s="127" t="s">
        <v>427</v>
      </c>
      <c r="B16" s="51" t="s">
        <v>428</v>
      </c>
      <c r="C16" s="56">
        <v>18</v>
      </c>
      <c r="D16" s="235">
        <v>3.6</v>
      </c>
      <c r="E16" s="29">
        <f>10/18</f>
        <v>0.55555555555555558</v>
      </c>
      <c r="F16" s="12">
        <f>29/18</f>
        <v>1.6111111111111112</v>
      </c>
      <c r="G16" s="165">
        <v>34.5</v>
      </c>
      <c r="H16" s="25">
        <f>10/18</f>
        <v>0.55555555555555558</v>
      </c>
      <c r="I16" s="12">
        <f>31/18</f>
        <v>1.7222222222222223</v>
      </c>
      <c r="J16" s="174">
        <v>32.299999999999997</v>
      </c>
      <c r="K16" s="29">
        <f>14/18</f>
        <v>0.77777777777777779</v>
      </c>
      <c r="L16" s="12">
        <f>17/18</f>
        <v>0.94444444444444442</v>
      </c>
      <c r="M16" s="216">
        <v>82.4</v>
      </c>
      <c r="N16" s="25">
        <v>0.9</v>
      </c>
      <c r="O16" s="11">
        <v>0.3</v>
      </c>
      <c r="P16" s="33">
        <v>1.2</v>
      </c>
      <c r="Q16" s="56">
        <v>0.7</v>
      </c>
      <c r="R16" s="299">
        <v>0</v>
      </c>
      <c r="S16" s="29">
        <v>1</v>
      </c>
      <c r="T16" s="102">
        <v>0.6</v>
      </c>
      <c r="U16" s="47">
        <v>1.2</v>
      </c>
      <c r="V16" s="99" t="s">
        <v>28</v>
      </c>
      <c r="W16" s="56" t="s">
        <v>91</v>
      </c>
      <c r="X16" s="235">
        <v>2.1</v>
      </c>
    </row>
    <row r="17" spans="1:35" ht="18.75" customHeight="1">
      <c r="A17" s="94" t="s">
        <v>429</v>
      </c>
      <c r="B17" s="52" t="s">
        <v>27</v>
      </c>
      <c r="C17" s="57">
        <v>8</v>
      </c>
      <c r="D17" s="232">
        <v>2.5</v>
      </c>
      <c r="E17" s="30">
        <f>5/8</f>
        <v>0.625</v>
      </c>
      <c r="F17" s="6">
        <f>17/8</f>
        <v>2.125</v>
      </c>
      <c r="G17" s="167">
        <v>29.4</v>
      </c>
      <c r="H17" s="26">
        <f>2/8</f>
        <v>0.25</v>
      </c>
      <c r="I17" s="6">
        <v>1</v>
      </c>
      <c r="J17" s="177">
        <v>25</v>
      </c>
      <c r="K17" s="30">
        <v>0.5</v>
      </c>
      <c r="L17" s="6">
        <v>1</v>
      </c>
      <c r="M17" s="167">
        <v>50</v>
      </c>
      <c r="N17" s="26">
        <v>0.4</v>
      </c>
      <c r="O17" s="10">
        <v>0.1</v>
      </c>
      <c r="P17" s="27">
        <v>0.5</v>
      </c>
      <c r="Q17" s="250">
        <v>0.5</v>
      </c>
      <c r="R17" s="316">
        <v>0</v>
      </c>
      <c r="S17" s="30">
        <v>0.5</v>
      </c>
      <c r="T17" s="103">
        <v>0.6</v>
      </c>
      <c r="U17" s="26">
        <v>0.9</v>
      </c>
      <c r="V17" s="100" t="s">
        <v>28</v>
      </c>
      <c r="W17" s="57" t="s">
        <v>430</v>
      </c>
      <c r="X17" s="232">
        <v>0.9</v>
      </c>
    </row>
    <row r="18" spans="1:35" ht="18.75" customHeight="1">
      <c r="A18" s="127" t="s">
        <v>431</v>
      </c>
      <c r="B18" s="51" t="s">
        <v>162</v>
      </c>
      <c r="C18" s="56">
        <v>19</v>
      </c>
      <c r="D18" s="235">
        <v>3.1</v>
      </c>
      <c r="E18" s="29">
        <f>5/19</f>
        <v>0.26315789473684209</v>
      </c>
      <c r="F18" s="12">
        <f>16/19</f>
        <v>0.84210526315789469</v>
      </c>
      <c r="G18" s="165">
        <v>31.3</v>
      </c>
      <c r="H18" s="25">
        <f>16/19</f>
        <v>0.84210526315789469</v>
      </c>
      <c r="I18" s="12">
        <f>48/19</f>
        <v>2.5263157894736841</v>
      </c>
      <c r="J18" s="174">
        <v>33.299999999999997</v>
      </c>
      <c r="K18" s="29">
        <v>0</v>
      </c>
      <c r="L18" s="12">
        <f>2/19</f>
        <v>0.10526315789473684</v>
      </c>
      <c r="M18" s="216">
        <v>0</v>
      </c>
      <c r="N18" s="25">
        <v>0.9</v>
      </c>
      <c r="O18" s="11">
        <v>0</v>
      </c>
      <c r="P18" s="33">
        <v>0.9</v>
      </c>
      <c r="Q18" s="56">
        <v>0.4</v>
      </c>
      <c r="R18" s="147">
        <v>0.1</v>
      </c>
      <c r="S18" s="42">
        <v>0.8</v>
      </c>
      <c r="T18" s="22">
        <v>0.5</v>
      </c>
      <c r="U18" s="25">
        <v>1</v>
      </c>
      <c r="V18" s="99" t="s">
        <v>28</v>
      </c>
      <c r="W18" s="56" t="s">
        <v>421</v>
      </c>
      <c r="X18" s="235">
        <v>0.7</v>
      </c>
    </row>
    <row r="19" spans="1:35" ht="18.75" customHeight="1">
      <c r="A19" s="94" t="s">
        <v>432</v>
      </c>
      <c r="B19" s="52" t="s">
        <v>162</v>
      </c>
      <c r="C19" s="57">
        <v>11</v>
      </c>
      <c r="D19" s="232">
        <v>0.7</v>
      </c>
      <c r="E19" s="282">
        <v>0</v>
      </c>
      <c r="F19" s="6">
        <f>5/11</f>
        <v>0.45454545454545453</v>
      </c>
      <c r="G19" s="166">
        <v>0</v>
      </c>
      <c r="H19" s="26">
        <f>1/11</f>
        <v>9.0909090909090912E-2</v>
      </c>
      <c r="I19" s="6">
        <f>4/11</f>
        <v>0.36363636363636365</v>
      </c>
      <c r="J19" s="177">
        <v>25</v>
      </c>
      <c r="K19" s="30">
        <f>5/11</f>
        <v>0.45454545454545453</v>
      </c>
      <c r="L19" s="6">
        <f>6/11</f>
        <v>0.54545454545454541</v>
      </c>
      <c r="M19" s="167">
        <v>83.3</v>
      </c>
      <c r="N19" s="49">
        <v>0.6</v>
      </c>
      <c r="O19" s="10">
        <v>0.4</v>
      </c>
      <c r="P19" s="27">
        <v>1</v>
      </c>
      <c r="Q19" s="57">
        <v>0.1</v>
      </c>
      <c r="R19" s="342">
        <v>0.2</v>
      </c>
      <c r="S19" s="43">
        <v>0.5</v>
      </c>
      <c r="T19" s="23">
        <v>0.1</v>
      </c>
      <c r="U19" s="49">
        <v>0.5</v>
      </c>
      <c r="V19" s="100" t="s">
        <v>28</v>
      </c>
      <c r="W19" s="57" t="s">
        <v>332</v>
      </c>
      <c r="X19" s="232">
        <v>0.6</v>
      </c>
    </row>
    <row r="20" spans="1:35" ht="18.75" customHeight="1">
      <c r="A20" s="128" t="s">
        <v>433</v>
      </c>
      <c r="B20" s="75" t="s">
        <v>33</v>
      </c>
      <c r="C20" s="73">
        <v>7</v>
      </c>
      <c r="D20" s="240">
        <v>0.3</v>
      </c>
      <c r="E20" s="241">
        <f>1/7</f>
        <v>0.14285714285714285</v>
      </c>
      <c r="F20" s="69">
        <f>10/7</f>
        <v>1.4285714285714286</v>
      </c>
      <c r="G20" s="225">
        <v>0</v>
      </c>
      <c r="H20" s="358">
        <v>0</v>
      </c>
      <c r="I20" s="359">
        <v>0</v>
      </c>
      <c r="J20" s="367">
        <v>0</v>
      </c>
      <c r="K20" s="347">
        <v>0</v>
      </c>
      <c r="L20" s="359">
        <v>0</v>
      </c>
      <c r="M20" s="225">
        <v>0</v>
      </c>
      <c r="N20" s="358">
        <v>0</v>
      </c>
      <c r="O20" s="69">
        <v>0</v>
      </c>
      <c r="P20" s="242">
        <v>0</v>
      </c>
      <c r="Q20" s="332">
        <v>0</v>
      </c>
      <c r="R20" s="365">
        <v>0</v>
      </c>
      <c r="S20" s="71">
        <v>0.1</v>
      </c>
      <c r="T20" s="66">
        <v>0</v>
      </c>
      <c r="U20" s="68">
        <v>0.1</v>
      </c>
      <c r="V20" s="243" t="s">
        <v>28</v>
      </c>
      <c r="W20" s="73" t="s">
        <v>434</v>
      </c>
      <c r="X20" s="240">
        <v>0</v>
      </c>
    </row>
    <row r="21" spans="1:35" s="2" customFormat="1" ht="18.75" customHeight="1">
      <c r="A21" s="448" t="s">
        <v>435</v>
      </c>
      <c r="B21" s="449"/>
      <c r="C21" s="321">
        <v>22</v>
      </c>
      <c r="D21" s="322">
        <v>67.599999999999994</v>
      </c>
      <c r="E21" s="258">
        <f>432/22</f>
        <v>19.636363636363637</v>
      </c>
      <c r="F21" s="259">
        <f>947/22</f>
        <v>43.045454545454547</v>
      </c>
      <c r="G21" s="260">
        <v>45.6</v>
      </c>
      <c r="H21" s="323">
        <f>128/22</f>
        <v>5.8181818181818183</v>
      </c>
      <c r="I21" s="259">
        <f>475/22</f>
        <v>21.59090909090909</v>
      </c>
      <c r="J21" s="257">
        <v>26.9</v>
      </c>
      <c r="K21" s="258">
        <f>239/22</f>
        <v>10.863636363636363</v>
      </c>
      <c r="L21" s="259">
        <f>399/22</f>
        <v>18.136363636363637</v>
      </c>
      <c r="M21" s="260">
        <v>59.9</v>
      </c>
      <c r="N21" s="261">
        <v>20.2</v>
      </c>
      <c r="O21" s="262">
        <v>10.4</v>
      </c>
      <c r="P21" s="263">
        <v>30.6</v>
      </c>
      <c r="Q21" s="264">
        <v>12.8</v>
      </c>
      <c r="R21" s="366">
        <v>2.6</v>
      </c>
      <c r="S21" s="258">
        <v>15</v>
      </c>
      <c r="T21" s="267">
        <v>11.1</v>
      </c>
      <c r="U21" s="323">
        <v>19.100000000000001</v>
      </c>
      <c r="V21" s="324"/>
      <c r="W21" s="325"/>
      <c r="X21" s="326">
        <v>58.6</v>
      </c>
      <c r="Y21"/>
      <c r="Z21"/>
    </row>
    <row r="22" spans="1:35" s="2" customFormat="1" ht="18.75" customHeight="1">
      <c r="A22" s="493" t="s">
        <v>62</v>
      </c>
      <c r="B22" s="519"/>
      <c r="C22" s="337">
        <v>22</v>
      </c>
      <c r="D22" s="340">
        <v>80.599999999999994</v>
      </c>
      <c r="E22" s="522"/>
      <c r="F22" s="495"/>
      <c r="G22" s="341">
        <v>55.7</v>
      </c>
      <c r="H22" s="523"/>
      <c r="I22" s="496"/>
      <c r="J22" s="364">
        <v>39.5</v>
      </c>
      <c r="K22" s="520"/>
      <c r="L22" s="496"/>
      <c r="M22" s="496"/>
      <c r="N22" s="496"/>
      <c r="O22" s="496"/>
      <c r="P22" s="496"/>
      <c r="Q22" s="496"/>
      <c r="R22" s="496"/>
      <c r="S22" s="496"/>
      <c r="T22" s="496"/>
      <c r="U22" s="496"/>
      <c r="V22" s="496"/>
      <c r="W22" s="496"/>
      <c r="X22" s="497"/>
      <c r="Y22"/>
      <c r="Z22"/>
    </row>
    <row r="23" spans="1:35" s="2" customFormat="1" ht="18.75" customHeight="1">
      <c r="A23" s="436" t="s">
        <v>436</v>
      </c>
      <c r="B23" s="437"/>
      <c r="C23" s="437"/>
      <c r="D23" s="437"/>
      <c r="E23" s="437"/>
      <c r="F23" s="437"/>
      <c r="G23" s="437"/>
      <c r="H23" s="437"/>
      <c r="I23" s="437"/>
      <c r="J23" s="437"/>
      <c r="K23" s="437"/>
      <c r="L23" s="437"/>
      <c r="M23" s="437"/>
      <c r="N23" s="437"/>
      <c r="O23" s="437"/>
      <c r="P23" s="437"/>
      <c r="Q23" s="437"/>
      <c r="R23" s="437"/>
      <c r="S23" s="437"/>
      <c r="T23" s="437"/>
      <c r="U23" s="437"/>
      <c r="V23" s="437"/>
      <c r="W23" s="437"/>
      <c r="X23" s="437"/>
      <c r="Y23"/>
      <c r="Z23"/>
    </row>
    <row r="24" spans="1:35" s="2" customFormat="1" ht="18.75" customHeight="1">
      <c r="A24" s="432" t="s">
        <v>437</v>
      </c>
      <c r="B24" s="432"/>
      <c r="C24" s="432"/>
      <c r="D24" s="432"/>
      <c r="E24" s="432"/>
      <c r="F24" s="432"/>
      <c r="G24" s="432"/>
      <c r="H24" s="432"/>
      <c r="I24" s="432"/>
      <c r="J24" s="432"/>
      <c r="K24" s="432"/>
      <c r="L24" s="432"/>
      <c r="M24" s="432"/>
      <c r="N24" s="432"/>
      <c r="O24" s="432"/>
      <c r="P24" s="432"/>
      <c r="Q24" s="432"/>
      <c r="R24" s="432"/>
      <c r="S24" s="432"/>
      <c r="T24" s="432"/>
      <c r="U24" s="432"/>
      <c r="V24" s="432"/>
      <c r="W24" s="432"/>
      <c r="X24" s="432"/>
      <c r="Y24"/>
    </row>
    <row r="25" spans="1:35" s="2" customFormat="1" ht="18.75" customHeight="1">
      <c r="A25" s="433" t="s">
        <v>65</v>
      </c>
      <c r="B25" s="433"/>
      <c r="C25" s="433"/>
      <c r="D25" s="433"/>
      <c r="E25" s="433"/>
      <c r="F25" s="433"/>
      <c r="G25" s="433"/>
      <c r="H25" s="433"/>
      <c r="I25" s="433"/>
      <c r="J25" s="433"/>
      <c r="K25" s="433"/>
      <c r="L25" s="433"/>
      <c r="M25" s="433"/>
      <c r="N25" s="433"/>
      <c r="O25" s="433"/>
      <c r="P25" s="433"/>
      <c r="Q25" s="433"/>
      <c r="R25" s="433"/>
      <c r="S25" s="433"/>
      <c r="T25" s="433"/>
      <c r="U25" s="433"/>
      <c r="V25" s="433"/>
      <c r="W25" s="433"/>
      <c r="X25" s="433"/>
      <c r="Y25"/>
      <c r="AI25" s="3"/>
    </row>
  </sheetData>
  <mergeCells count="26">
    <mergeCell ref="T1:X4"/>
    <mergeCell ref="B3:S4"/>
    <mergeCell ref="N5:P5"/>
    <mergeCell ref="K5:M5"/>
    <mergeCell ref="A1:A4"/>
    <mergeCell ref="D5:D6"/>
    <mergeCell ref="B1:S2"/>
    <mergeCell ref="A5:A6"/>
    <mergeCell ref="B5:B6"/>
    <mergeCell ref="C5:C6"/>
    <mergeCell ref="S5:T5"/>
    <mergeCell ref="X5:X6"/>
    <mergeCell ref="E5:G5"/>
    <mergeCell ref="H5:J5"/>
    <mergeCell ref="W5:W6"/>
    <mergeCell ref="Q5:Q6"/>
    <mergeCell ref="R5:R6"/>
    <mergeCell ref="U5:V5"/>
    <mergeCell ref="A25:X25"/>
    <mergeCell ref="A24:X24"/>
    <mergeCell ref="A21:B21"/>
    <mergeCell ref="A22:B22"/>
    <mergeCell ref="A23:X23"/>
    <mergeCell ref="E22:F22"/>
    <mergeCell ref="H22:I22"/>
    <mergeCell ref="K22:X22"/>
  </mergeCells>
  <pageMargins left="0.25" right="0.25" top="0.75" bottom="0.75" header="0.3" footer="0.3"/>
  <pageSetup paperSize="5" orientation="landscape" r:id="rId1"/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2060"/>
  </sheetPr>
  <dimension ref="A1:AI24"/>
  <sheetViews>
    <sheetView zoomScale="106" zoomScaleNormal="106" workbookViewId="0">
      <selection activeCell="A5" sqref="A5:X6"/>
    </sheetView>
  </sheetViews>
  <sheetFormatPr defaultColWidth="9.140625" defaultRowHeight="15"/>
  <cols>
    <col min="1" max="1" width="25.140625" customWidth="1"/>
    <col min="2" max="2" width="7.28515625" customWidth="1"/>
    <col min="3" max="3" width="5.7109375" style="1" customWidth="1"/>
    <col min="4" max="4" width="6.140625" style="1" customWidth="1"/>
    <col min="5" max="23" width="5.7109375" style="1" customWidth="1"/>
    <col min="24" max="24" width="6.140625" style="1" customWidth="1"/>
    <col min="25" max="255" width="11.42578125" customWidth="1"/>
  </cols>
  <sheetData>
    <row r="1" spans="1:24" ht="14.25" customHeight="1">
      <c r="A1" s="527"/>
      <c r="B1" s="421" t="s">
        <v>438</v>
      </c>
      <c r="C1" s="421"/>
      <c r="D1" s="421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1"/>
      <c r="Q1" s="421"/>
      <c r="R1" s="421"/>
      <c r="S1" s="421"/>
      <c r="T1" s="409"/>
      <c r="U1" s="409"/>
      <c r="V1" s="409"/>
      <c r="W1" s="409"/>
      <c r="X1" s="410"/>
    </row>
    <row r="2" spans="1:24" ht="14.25" customHeight="1">
      <c r="A2" s="528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11"/>
      <c r="U2" s="411"/>
      <c r="V2" s="411"/>
      <c r="W2" s="411"/>
      <c r="X2" s="412"/>
    </row>
    <row r="3" spans="1:24" ht="15" customHeight="1">
      <c r="A3" s="528"/>
      <c r="B3" s="529" t="s">
        <v>385</v>
      </c>
      <c r="C3" s="529"/>
      <c r="D3" s="529"/>
      <c r="E3" s="529"/>
      <c r="F3" s="529"/>
      <c r="G3" s="529"/>
      <c r="H3" s="529"/>
      <c r="I3" s="529"/>
      <c r="J3" s="529"/>
      <c r="K3" s="529"/>
      <c r="L3" s="529"/>
      <c r="M3" s="529"/>
      <c r="N3" s="529"/>
      <c r="O3" s="529"/>
      <c r="P3" s="529"/>
      <c r="Q3" s="529"/>
      <c r="R3" s="529"/>
      <c r="S3" s="529"/>
      <c r="T3" s="411"/>
      <c r="U3" s="411"/>
      <c r="V3" s="411"/>
      <c r="W3" s="411"/>
      <c r="X3" s="412"/>
    </row>
    <row r="4" spans="1:24" ht="15.75" customHeight="1">
      <c r="A4" s="528"/>
      <c r="B4" s="529"/>
      <c r="C4" s="529"/>
      <c r="D4" s="529"/>
      <c r="E4" s="529"/>
      <c r="F4" s="529"/>
      <c r="G4" s="529"/>
      <c r="H4" s="529"/>
      <c r="I4" s="529"/>
      <c r="J4" s="529"/>
      <c r="K4" s="529"/>
      <c r="L4" s="529"/>
      <c r="M4" s="529"/>
      <c r="N4" s="529"/>
      <c r="O4" s="529"/>
      <c r="P4" s="529"/>
      <c r="Q4" s="529"/>
      <c r="R4" s="529"/>
      <c r="S4" s="529"/>
      <c r="T4" s="411"/>
      <c r="U4" s="411"/>
      <c r="V4" s="411"/>
      <c r="W4" s="411"/>
      <c r="X4" s="412"/>
    </row>
    <row r="5" spans="1:24" ht="15" customHeight="1">
      <c r="A5" s="413" t="s">
        <v>2</v>
      </c>
      <c r="B5" s="430" t="s">
        <v>3</v>
      </c>
      <c r="C5" s="415" t="s">
        <v>4</v>
      </c>
      <c r="D5" s="468" t="s">
        <v>5</v>
      </c>
      <c r="E5" s="434" t="s">
        <v>6</v>
      </c>
      <c r="F5" s="435"/>
      <c r="G5" s="427"/>
      <c r="H5" s="426" t="s">
        <v>7</v>
      </c>
      <c r="I5" s="435"/>
      <c r="J5" s="427"/>
      <c r="K5" s="426" t="s">
        <v>8</v>
      </c>
      <c r="L5" s="435"/>
      <c r="M5" s="427"/>
      <c r="N5" s="428" t="s">
        <v>9</v>
      </c>
      <c r="O5" s="439"/>
      <c r="P5" s="429"/>
      <c r="Q5" s="415" t="s">
        <v>10</v>
      </c>
      <c r="R5" s="468" t="s">
        <v>11</v>
      </c>
      <c r="S5" s="434" t="s">
        <v>12</v>
      </c>
      <c r="T5" s="427"/>
      <c r="U5" s="428" t="s">
        <v>13</v>
      </c>
      <c r="V5" s="429"/>
      <c r="W5" s="475" t="s">
        <v>14</v>
      </c>
      <c r="X5" s="468" t="s">
        <v>15</v>
      </c>
    </row>
    <row r="6" spans="1:24" ht="15" customHeight="1">
      <c r="A6" s="414"/>
      <c r="B6" s="431"/>
      <c r="C6" s="416"/>
      <c r="D6" s="438"/>
      <c r="E6" s="135" t="s">
        <v>16</v>
      </c>
      <c r="F6" s="134" t="s">
        <v>17</v>
      </c>
      <c r="G6" s="136" t="s">
        <v>18</v>
      </c>
      <c r="H6" s="133" t="s">
        <v>16</v>
      </c>
      <c r="I6" s="134" t="s">
        <v>17</v>
      </c>
      <c r="J6" s="136" t="s">
        <v>18</v>
      </c>
      <c r="K6" s="133" t="s">
        <v>16</v>
      </c>
      <c r="L6" s="134" t="s">
        <v>17</v>
      </c>
      <c r="M6" s="136" t="s">
        <v>18</v>
      </c>
      <c r="N6" s="145" t="s">
        <v>19</v>
      </c>
      <c r="O6" s="141" t="s">
        <v>20</v>
      </c>
      <c r="P6" s="146" t="s">
        <v>21</v>
      </c>
      <c r="Q6" s="416"/>
      <c r="R6" s="438"/>
      <c r="S6" s="135" t="s">
        <v>22</v>
      </c>
      <c r="T6" s="136" t="s">
        <v>23</v>
      </c>
      <c r="U6" s="145" t="s">
        <v>24</v>
      </c>
      <c r="V6" s="146" t="s">
        <v>25</v>
      </c>
      <c r="W6" s="476"/>
      <c r="X6" s="438"/>
    </row>
    <row r="7" spans="1:24" ht="18.75" customHeight="1">
      <c r="A7" s="94" t="s">
        <v>439</v>
      </c>
      <c r="B7" s="52" t="s">
        <v>33</v>
      </c>
      <c r="C7" s="57">
        <v>13</v>
      </c>
      <c r="D7" s="232">
        <v>16</v>
      </c>
      <c r="E7" s="30">
        <f>33/13</f>
        <v>2.5384615384615383</v>
      </c>
      <c r="F7" s="6">
        <f>67/13</f>
        <v>5.1538461538461542</v>
      </c>
      <c r="G7" s="167">
        <v>49.3</v>
      </c>
      <c r="H7" s="26">
        <f>32/13</f>
        <v>2.4615384615384617</v>
      </c>
      <c r="I7" s="6">
        <f>80/13</f>
        <v>6.1538461538461542</v>
      </c>
      <c r="J7" s="167">
        <v>40</v>
      </c>
      <c r="K7" s="26">
        <f>46/13</f>
        <v>3.5384615384615383</v>
      </c>
      <c r="L7" s="6">
        <f>59/13</f>
        <v>4.5384615384615383</v>
      </c>
      <c r="M7" s="167">
        <v>78</v>
      </c>
      <c r="N7" s="49">
        <v>2.4</v>
      </c>
      <c r="O7" s="7">
        <v>0.5</v>
      </c>
      <c r="P7" s="27">
        <v>3.8</v>
      </c>
      <c r="Q7" s="57">
        <v>5.6</v>
      </c>
      <c r="R7" s="316">
        <v>0</v>
      </c>
      <c r="S7" s="30">
        <v>3</v>
      </c>
      <c r="T7" s="23">
        <v>1.3</v>
      </c>
      <c r="U7" s="49">
        <v>2.1</v>
      </c>
      <c r="V7" s="100" t="s">
        <v>28</v>
      </c>
      <c r="W7" s="57" t="s">
        <v>34</v>
      </c>
      <c r="X7" s="232">
        <v>18.8</v>
      </c>
    </row>
    <row r="8" spans="1:24" ht="18.75" customHeight="1">
      <c r="A8" s="127" t="s">
        <v>427</v>
      </c>
      <c r="B8" s="51" t="s">
        <v>27</v>
      </c>
      <c r="C8" s="56">
        <v>22</v>
      </c>
      <c r="D8" s="235">
        <v>12.7</v>
      </c>
      <c r="E8" s="29">
        <f>69/22</f>
        <v>3.1363636363636362</v>
      </c>
      <c r="F8" s="12">
        <f>136/22</f>
        <v>6.1818181818181817</v>
      </c>
      <c r="G8" s="216">
        <v>50.7</v>
      </c>
      <c r="H8" s="25">
        <f>30/22</f>
        <v>1.3636363636363635</v>
      </c>
      <c r="I8" s="12">
        <f>110/22</f>
        <v>5</v>
      </c>
      <c r="J8" s="218">
        <v>27.3</v>
      </c>
      <c r="K8" s="25">
        <f>52/22</f>
        <v>2.3636363636363638</v>
      </c>
      <c r="L8" s="12">
        <f>66/22</f>
        <v>3</v>
      </c>
      <c r="M8" s="165">
        <v>78.8</v>
      </c>
      <c r="N8" s="25">
        <v>7</v>
      </c>
      <c r="O8" s="11">
        <v>0.7</v>
      </c>
      <c r="P8" s="33">
        <v>7.7</v>
      </c>
      <c r="Q8" s="56">
        <v>4.2</v>
      </c>
      <c r="R8" s="19">
        <v>0.5</v>
      </c>
      <c r="S8" s="29">
        <v>2.6</v>
      </c>
      <c r="T8" s="102">
        <v>1.1000000000000001</v>
      </c>
      <c r="U8" s="25">
        <v>2.7</v>
      </c>
      <c r="V8" s="99" t="s">
        <v>28</v>
      </c>
      <c r="W8" s="56" t="s">
        <v>34</v>
      </c>
      <c r="X8" s="235">
        <v>16.2</v>
      </c>
    </row>
    <row r="9" spans="1:24" ht="18.75" customHeight="1">
      <c r="A9" s="94" t="s">
        <v>440</v>
      </c>
      <c r="B9" s="52" t="s">
        <v>33</v>
      </c>
      <c r="C9" s="57">
        <v>20</v>
      </c>
      <c r="D9" s="232">
        <v>10.7</v>
      </c>
      <c r="E9" s="30">
        <f>80/20</f>
        <v>4</v>
      </c>
      <c r="F9" s="6">
        <f>132/20</f>
        <v>6.6</v>
      </c>
      <c r="G9" s="166">
        <v>60.6</v>
      </c>
      <c r="H9" s="26">
        <f>12/20</f>
        <v>0.6</v>
      </c>
      <c r="I9" s="6">
        <f>68/20</f>
        <v>3.4</v>
      </c>
      <c r="J9" s="167">
        <v>17.600000000000001</v>
      </c>
      <c r="K9" s="26">
        <f>18/20</f>
        <v>0.9</v>
      </c>
      <c r="L9" s="6">
        <f>38/20</f>
        <v>1.9</v>
      </c>
      <c r="M9" s="167">
        <v>47.4</v>
      </c>
      <c r="N9" s="49">
        <v>4.5999999999999996</v>
      </c>
      <c r="O9" s="7">
        <v>2.7</v>
      </c>
      <c r="P9" s="27">
        <v>7.2</v>
      </c>
      <c r="Q9" s="57">
        <v>2.6</v>
      </c>
      <c r="R9" s="20">
        <v>0.7</v>
      </c>
      <c r="S9" s="43">
        <v>1.5</v>
      </c>
      <c r="T9" s="23">
        <v>1.6</v>
      </c>
      <c r="U9" s="49">
        <v>2.2999999999999998</v>
      </c>
      <c r="V9" s="100" t="s">
        <v>28</v>
      </c>
      <c r="W9" s="57" t="s">
        <v>441</v>
      </c>
      <c r="X9" s="232">
        <v>14.3</v>
      </c>
    </row>
    <row r="10" spans="1:24" ht="18.75" customHeight="1">
      <c r="A10" s="127" t="s">
        <v>442</v>
      </c>
      <c r="B10" s="51" t="s">
        <v>27</v>
      </c>
      <c r="C10" s="56">
        <v>20</v>
      </c>
      <c r="D10" s="233">
        <v>13.2</v>
      </c>
      <c r="E10" s="29">
        <f>101/20</f>
        <v>5.05</v>
      </c>
      <c r="F10" s="12">
        <f>216/20</f>
        <v>10.8</v>
      </c>
      <c r="G10" s="216">
        <v>46.8</v>
      </c>
      <c r="H10" s="31">
        <f>3/20</f>
        <v>0.15</v>
      </c>
      <c r="I10" s="12">
        <f>16/20</f>
        <v>0.8</v>
      </c>
      <c r="J10" s="216">
        <v>18.8</v>
      </c>
      <c r="K10" s="25">
        <f>53/20</f>
        <v>2.65</v>
      </c>
      <c r="L10" s="12">
        <f>104/20</f>
        <v>5.2</v>
      </c>
      <c r="M10" s="216">
        <v>51</v>
      </c>
      <c r="N10" s="47">
        <v>4.9000000000000004</v>
      </c>
      <c r="O10" s="12">
        <v>2.4</v>
      </c>
      <c r="P10" s="33">
        <v>7.2</v>
      </c>
      <c r="Q10" s="249">
        <v>1.4</v>
      </c>
      <c r="R10" s="353">
        <v>0.6</v>
      </c>
      <c r="S10" s="42">
        <v>2.2999999999999998</v>
      </c>
      <c r="T10" s="22">
        <v>0.5</v>
      </c>
      <c r="U10" s="25">
        <v>3.3</v>
      </c>
      <c r="V10" s="99" t="s">
        <v>28</v>
      </c>
      <c r="W10" s="56" t="s">
        <v>216</v>
      </c>
      <c r="X10" s="233">
        <v>12.1</v>
      </c>
    </row>
    <row r="11" spans="1:24" ht="18.75" customHeight="1">
      <c r="A11" s="94" t="s">
        <v>443</v>
      </c>
      <c r="B11" s="52" t="s">
        <v>284</v>
      </c>
      <c r="C11" s="57">
        <v>17</v>
      </c>
      <c r="D11" s="232">
        <v>9.6</v>
      </c>
      <c r="E11" s="30">
        <f>58/17</f>
        <v>3.4117647058823528</v>
      </c>
      <c r="F11" s="6">
        <f>88/17</f>
        <v>5.1764705882352944</v>
      </c>
      <c r="G11" s="166">
        <v>65.8</v>
      </c>
      <c r="H11" s="26">
        <f>12/17</f>
        <v>0.70588235294117652</v>
      </c>
      <c r="I11" s="6">
        <f>38/17</f>
        <v>2.2352941176470589</v>
      </c>
      <c r="J11" s="167">
        <v>31.6</v>
      </c>
      <c r="K11" s="339">
        <f>12/17</f>
        <v>0.70588235294117652</v>
      </c>
      <c r="L11" s="6">
        <v>1</v>
      </c>
      <c r="M11" s="345">
        <v>70.599999999999994</v>
      </c>
      <c r="N11" s="49">
        <v>1.7</v>
      </c>
      <c r="O11" s="6">
        <v>0.9</v>
      </c>
      <c r="P11" s="27">
        <v>2.6</v>
      </c>
      <c r="Q11" s="250">
        <v>3.1</v>
      </c>
      <c r="R11" s="20">
        <v>0.1</v>
      </c>
      <c r="S11" s="43">
        <v>1.9</v>
      </c>
      <c r="T11" s="23">
        <v>1.3</v>
      </c>
      <c r="U11" s="26">
        <v>2.6</v>
      </c>
      <c r="V11" s="100" t="s">
        <v>28</v>
      </c>
      <c r="W11" s="57" t="s">
        <v>174</v>
      </c>
      <c r="X11" s="232">
        <v>10</v>
      </c>
    </row>
    <row r="12" spans="1:24" ht="18.75" customHeight="1">
      <c r="A12" s="127" t="s">
        <v>444</v>
      </c>
      <c r="B12" s="51" t="s">
        <v>27</v>
      </c>
      <c r="C12" s="56">
        <v>24</v>
      </c>
      <c r="D12" s="233">
        <v>9.8000000000000007</v>
      </c>
      <c r="E12" s="29">
        <f>57/24</f>
        <v>2.375</v>
      </c>
      <c r="F12" s="12">
        <f>107/24</f>
        <v>4.458333333333333</v>
      </c>
      <c r="G12" s="165">
        <v>53.3</v>
      </c>
      <c r="H12" s="25">
        <v>1</v>
      </c>
      <c r="I12" s="12">
        <f>86/24</f>
        <v>3.5833333333333335</v>
      </c>
      <c r="J12" s="216">
        <v>27.9</v>
      </c>
      <c r="K12" s="25">
        <f>49/24</f>
        <v>2.0416666666666665</v>
      </c>
      <c r="L12" s="12">
        <f>53/24</f>
        <v>2.2083333333333335</v>
      </c>
      <c r="M12" s="216">
        <v>92.5</v>
      </c>
      <c r="N12" s="47">
        <v>2.4</v>
      </c>
      <c r="O12" s="11">
        <v>0.8</v>
      </c>
      <c r="P12" s="33">
        <v>3.2</v>
      </c>
      <c r="Q12" s="249">
        <v>2.7</v>
      </c>
      <c r="R12" s="19">
        <v>0</v>
      </c>
      <c r="S12" s="42">
        <v>1.7</v>
      </c>
      <c r="T12" s="22">
        <v>0.7</v>
      </c>
      <c r="U12" s="47">
        <v>1.9</v>
      </c>
      <c r="V12" s="99" t="s">
        <v>28</v>
      </c>
      <c r="W12" s="56" t="s">
        <v>445</v>
      </c>
      <c r="X12" s="233">
        <v>9.5</v>
      </c>
    </row>
    <row r="13" spans="1:24" ht="18.75" customHeight="1">
      <c r="A13" s="94" t="s">
        <v>446</v>
      </c>
      <c r="B13" s="52" t="s">
        <v>27</v>
      </c>
      <c r="C13" s="57">
        <v>24</v>
      </c>
      <c r="D13" s="232">
        <v>7.6</v>
      </c>
      <c r="E13" s="30">
        <f>62/24</f>
        <v>2.5833333333333335</v>
      </c>
      <c r="F13" s="6">
        <f>92/24</f>
        <v>3.8333333333333335</v>
      </c>
      <c r="G13" s="166">
        <v>67.400000000000006</v>
      </c>
      <c r="H13" s="26">
        <f>16/24</f>
        <v>0.66666666666666663</v>
      </c>
      <c r="I13" s="6">
        <f>61/24</f>
        <v>2.5416666666666665</v>
      </c>
      <c r="J13" s="167">
        <v>26.2</v>
      </c>
      <c r="K13" s="26">
        <f>11/24</f>
        <v>0.45833333333333331</v>
      </c>
      <c r="L13" s="6">
        <f>23/24</f>
        <v>0.95833333333333337</v>
      </c>
      <c r="M13" s="167">
        <v>47.8</v>
      </c>
      <c r="N13" s="26">
        <v>1.7</v>
      </c>
      <c r="O13" s="7">
        <v>0.7</v>
      </c>
      <c r="P13" s="27">
        <v>2.4</v>
      </c>
      <c r="Q13" s="250">
        <v>2</v>
      </c>
      <c r="R13" s="316">
        <v>0</v>
      </c>
      <c r="S13" s="43">
        <v>0.9</v>
      </c>
      <c r="T13" s="23">
        <v>0.8</v>
      </c>
      <c r="U13" s="49">
        <v>2.4</v>
      </c>
      <c r="V13" s="100" t="s">
        <v>28</v>
      </c>
      <c r="W13" s="57" t="s">
        <v>216</v>
      </c>
      <c r="X13" s="232">
        <v>6.3</v>
      </c>
    </row>
    <row r="14" spans="1:24" ht="18.75" customHeight="1">
      <c r="A14" s="127" t="s">
        <v>447</v>
      </c>
      <c r="B14" s="51" t="s">
        <v>284</v>
      </c>
      <c r="C14" s="56">
        <v>21</v>
      </c>
      <c r="D14" s="235">
        <v>5</v>
      </c>
      <c r="E14" s="29">
        <f>22/21</f>
        <v>1.0476190476190477</v>
      </c>
      <c r="F14" s="12">
        <f>34/21</f>
        <v>1.6190476190476191</v>
      </c>
      <c r="G14" s="216">
        <v>64.7</v>
      </c>
      <c r="H14" s="25">
        <f>18/21</f>
        <v>0.8571428571428571</v>
      </c>
      <c r="I14" s="12">
        <f>54/21</f>
        <v>2.5714285714285716</v>
      </c>
      <c r="J14" s="216">
        <v>33.299999999999997</v>
      </c>
      <c r="K14" s="25">
        <f>8/21</f>
        <v>0.38095238095238093</v>
      </c>
      <c r="L14" s="12">
        <f>9/21</f>
        <v>0.42857142857142855</v>
      </c>
      <c r="M14" s="216">
        <v>88.9</v>
      </c>
      <c r="N14" s="25">
        <v>1.7</v>
      </c>
      <c r="O14" s="15">
        <v>0.5</v>
      </c>
      <c r="P14" s="33">
        <v>2.1</v>
      </c>
      <c r="Q14" s="249">
        <v>0.4</v>
      </c>
      <c r="R14" s="147">
        <v>0.1</v>
      </c>
      <c r="S14" s="29">
        <v>1.1000000000000001</v>
      </c>
      <c r="T14" s="102">
        <v>1.1000000000000001</v>
      </c>
      <c r="U14" s="25">
        <v>1.7</v>
      </c>
      <c r="V14" s="99" t="s">
        <v>28</v>
      </c>
      <c r="W14" s="56" t="s">
        <v>448</v>
      </c>
      <c r="X14" s="235">
        <v>4.2</v>
      </c>
    </row>
    <row r="15" spans="1:24" ht="18.75" customHeight="1">
      <c r="A15" s="94" t="s">
        <v>449</v>
      </c>
      <c r="B15" s="52" t="s">
        <v>27</v>
      </c>
      <c r="C15" s="57">
        <v>9</v>
      </c>
      <c r="D15" s="232">
        <v>3.2</v>
      </c>
      <c r="E15" s="30">
        <f>10/9</f>
        <v>1.1111111111111112</v>
      </c>
      <c r="F15" s="6">
        <f>17/9</f>
        <v>1.8888888888888888</v>
      </c>
      <c r="G15" s="167">
        <v>58.8</v>
      </c>
      <c r="H15" s="32">
        <f>2/9</f>
        <v>0.22222222222222221</v>
      </c>
      <c r="I15" s="6">
        <f>5/9</f>
        <v>0.55555555555555558</v>
      </c>
      <c r="J15" s="167">
        <v>40</v>
      </c>
      <c r="K15" s="26">
        <f>3/9</f>
        <v>0.33333333333333331</v>
      </c>
      <c r="L15" s="6">
        <f>5/9</f>
        <v>0.55555555555555558</v>
      </c>
      <c r="M15" s="167">
        <v>60</v>
      </c>
      <c r="N15" s="49">
        <v>1.2</v>
      </c>
      <c r="O15" s="7">
        <v>0.4</v>
      </c>
      <c r="P15" s="27">
        <v>1.7</v>
      </c>
      <c r="Q15" s="57">
        <v>1.7</v>
      </c>
      <c r="R15" s="20">
        <v>0.1</v>
      </c>
      <c r="S15" s="30">
        <v>1.8</v>
      </c>
      <c r="T15" s="23">
        <v>0.7</v>
      </c>
      <c r="U15" s="26">
        <v>1</v>
      </c>
      <c r="V15" s="100" t="s">
        <v>28</v>
      </c>
      <c r="W15" s="57" t="s">
        <v>231</v>
      </c>
      <c r="X15" s="232">
        <v>4.2</v>
      </c>
    </row>
    <row r="16" spans="1:24" ht="18.75" customHeight="1">
      <c r="A16" s="127" t="s">
        <v>450</v>
      </c>
      <c r="B16" s="51" t="s">
        <v>284</v>
      </c>
      <c r="C16" s="56">
        <v>23</v>
      </c>
      <c r="D16" s="233">
        <v>3.2</v>
      </c>
      <c r="E16" s="29">
        <f>17/23</f>
        <v>0.73913043478260865</v>
      </c>
      <c r="F16" s="12">
        <f>32/23</f>
        <v>1.3913043478260869</v>
      </c>
      <c r="G16" s="216">
        <v>53.1</v>
      </c>
      <c r="H16" s="25">
        <f>12/23</f>
        <v>0.52173913043478259</v>
      </c>
      <c r="I16" s="12">
        <f>38/23</f>
        <v>1.6521739130434783</v>
      </c>
      <c r="J16" s="216">
        <v>31.6</v>
      </c>
      <c r="K16" s="25">
        <f>4/23</f>
        <v>0.17391304347826086</v>
      </c>
      <c r="L16" s="12">
        <f>10/23</f>
        <v>0.43478260869565216</v>
      </c>
      <c r="M16" s="216">
        <v>40</v>
      </c>
      <c r="N16" s="25">
        <v>0.7</v>
      </c>
      <c r="O16" s="12">
        <v>0.2</v>
      </c>
      <c r="P16" s="33">
        <v>1</v>
      </c>
      <c r="Q16" s="249">
        <v>1</v>
      </c>
      <c r="R16" s="147">
        <v>0.1</v>
      </c>
      <c r="S16" s="42">
        <v>0.6</v>
      </c>
      <c r="T16" s="22">
        <v>0.4</v>
      </c>
      <c r="U16" s="25">
        <v>1.3</v>
      </c>
      <c r="V16" s="99" t="s">
        <v>28</v>
      </c>
      <c r="W16" s="56" t="s">
        <v>451</v>
      </c>
      <c r="X16" s="233">
        <v>2.6</v>
      </c>
    </row>
    <row r="17" spans="1:35" ht="18.75" customHeight="1">
      <c r="A17" s="94" t="s">
        <v>452</v>
      </c>
      <c r="B17" s="52" t="s">
        <v>59</v>
      </c>
      <c r="C17" s="57">
        <v>24</v>
      </c>
      <c r="D17" s="234">
        <v>2.9</v>
      </c>
      <c r="E17" s="30">
        <f>13/24</f>
        <v>0.54166666666666663</v>
      </c>
      <c r="F17" s="6">
        <f>29/24</f>
        <v>1.2083333333333333</v>
      </c>
      <c r="G17" s="167">
        <v>44.8</v>
      </c>
      <c r="H17" s="26">
        <f>10/24</f>
        <v>0.41666666666666669</v>
      </c>
      <c r="I17" s="6">
        <f>32/24</f>
        <v>1.3333333333333333</v>
      </c>
      <c r="J17" s="167">
        <v>31.3</v>
      </c>
      <c r="K17" s="26">
        <f>13/24</f>
        <v>0.54166666666666663</v>
      </c>
      <c r="L17" s="6">
        <f>17/24</f>
        <v>0.70833333333333337</v>
      </c>
      <c r="M17" s="167">
        <v>76.5</v>
      </c>
      <c r="N17" s="26">
        <v>1</v>
      </c>
      <c r="O17" s="7">
        <v>0.4</v>
      </c>
      <c r="P17" s="27">
        <v>1.4</v>
      </c>
      <c r="Q17" s="250">
        <v>1</v>
      </c>
      <c r="R17" s="20">
        <v>0.1</v>
      </c>
      <c r="S17" s="43">
        <v>0.7</v>
      </c>
      <c r="T17" s="23">
        <v>0.5</v>
      </c>
      <c r="U17" s="26">
        <v>1.8</v>
      </c>
      <c r="V17" s="100" t="s">
        <v>28</v>
      </c>
      <c r="W17" s="57" t="s">
        <v>453</v>
      </c>
      <c r="X17" s="232">
        <v>2</v>
      </c>
    </row>
    <row r="18" spans="1:35" ht="18.75" customHeight="1">
      <c r="A18" s="127" t="s">
        <v>454</v>
      </c>
      <c r="B18" s="51" t="s">
        <v>162</v>
      </c>
      <c r="C18" s="56">
        <v>14</v>
      </c>
      <c r="D18" s="233">
        <v>2.4</v>
      </c>
      <c r="E18" s="29">
        <f>16/14</f>
        <v>1.1428571428571428</v>
      </c>
      <c r="F18" s="12">
        <f>33/14</f>
        <v>2.3571428571428572</v>
      </c>
      <c r="G18" s="165">
        <v>48.5</v>
      </c>
      <c r="H18" s="31">
        <v>0</v>
      </c>
      <c r="I18" s="12">
        <f>1/14</f>
        <v>7.1428571428571425E-2</v>
      </c>
      <c r="J18" s="218">
        <v>0</v>
      </c>
      <c r="K18" s="25">
        <f>2/14</f>
        <v>0.14285714285714285</v>
      </c>
      <c r="L18" s="12">
        <v>0.1</v>
      </c>
      <c r="M18" s="165">
        <v>100</v>
      </c>
      <c r="N18" s="47">
        <v>0.9</v>
      </c>
      <c r="O18" s="11">
        <v>0.8</v>
      </c>
      <c r="P18" s="33">
        <v>1.7</v>
      </c>
      <c r="Q18" s="249">
        <v>0.4</v>
      </c>
      <c r="R18" s="19">
        <v>0.2</v>
      </c>
      <c r="S18" s="42">
        <v>0.6</v>
      </c>
      <c r="T18" s="22">
        <v>0.3</v>
      </c>
      <c r="U18" s="47">
        <v>1.3</v>
      </c>
      <c r="V18" s="99" t="s">
        <v>28</v>
      </c>
      <c r="W18" s="56" t="s">
        <v>121</v>
      </c>
      <c r="X18" s="233">
        <v>1.9</v>
      </c>
    </row>
    <row r="19" spans="1:35" ht="18.75" customHeight="1">
      <c r="A19" s="109" t="s">
        <v>455</v>
      </c>
      <c r="B19" s="253" t="s">
        <v>27</v>
      </c>
      <c r="C19" s="117">
        <v>12</v>
      </c>
      <c r="D19" s="309">
        <v>0.5</v>
      </c>
      <c r="E19" s="254">
        <f>3/12</f>
        <v>0.25</v>
      </c>
      <c r="F19" s="113">
        <f>13/12</f>
        <v>1.0833333333333333</v>
      </c>
      <c r="G19" s="330">
        <v>23.1</v>
      </c>
      <c r="H19" s="319">
        <v>0</v>
      </c>
      <c r="I19" s="113">
        <f>4/12</f>
        <v>0.33333333333333331</v>
      </c>
      <c r="J19" s="275">
        <v>0</v>
      </c>
      <c r="K19" s="319">
        <v>0</v>
      </c>
      <c r="L19" s="320">
        <v>0</v>
      </c>
      <c r="M19" s="275">
        <v>0</v>
      </c>
      <c r="N19" s="112">
        <v>1.4</v>
      </c>
      <c r="O19" s="113">
        <v>0.2</v>
      </c>
      <c r="P19" s="255">
        <v>1.6</v>
      </c>
      <c r="Q19" s="369">
        <v>0.2</v>
      </c>
      <c r="R19" s="370">
        <v>0.2</v>
      </c>
      <c r="S19" s="254">
        <v>0.8</v>
      </c>
      <c r="T19" s="110">
        <v>0.1</v>
      </c>
      <c r="U19" s="118">
        <v>1.4</v>
      </c>
      <c r="V19" s="120" t="s">
        <v>28</v>
      </c>
      <c r="W19" s="117" t="s">
        <v>378</v>
      </c>
      <c r="X19" s="309">
        <v>0</v>
      </c>
    </row>
    <row r="20" spans="1:35" s="2" customFormat="1" ht="18.75" customHeight="1">
      <c r="A20" s="448" t="s">
        <v>456</v>
      </c>
      <c r="B20" s="449"/>
      <c r="C20" s="321">
        <v>25</v>
      </c>
      <c r="D20" s="322">
        <v>75.5</v>
      </c>
      <c r="E20" s="258">
        <f>543/25</f>
        <v>21.72</v>
      </c>
      <c r="F20" s="259">
        <f>1002/25</f>
        <v>40.08</v>
      </c>
      <c r="G20" s="260">
        <v>54.2</v>
      </c>
      <c r="H20" s="323">
        <f>176/25</f>
        <v>7.04</v>
      </c>
      <c r="I20" s="259">
        <f>608/25</f>
        <v>24.32</v>
      </c>
      <c r="J20" s="260">
        <v>28.9</v>
      </c>
      <c r="K20" s="323">
        <f>273/25</f>
        <v>10.92</v>
      </c>
      <c r="L20" s="259">
        <f>405/25</f>
        <v>16.2</v>
      </c>
      <c r="M20" s="260">
        <v>67.400000000000006</v>
      </c>
      <c r="N20" s="261">
        <v>25.3</v>
      </c>
      <c r="O20" s="262">
        <v>8.6</v>
      </c>
      <c r="P20" s="263">
        <v>34</v>
      </c>
      <c r="Q20" s="264">
        <v>19.600000000000001</v>
      </c>
      <c r="R20" s="366">
        <v>2</v>
      </c>
      <c r="S20" s="258">
        <v>14.4</v>
      </c>
      <c r="T20" s="267">
        <v>7.8</v>
      </c>
      <c r="U20" s="323">
        <v>19.899999999999999</v>
      </c>
      <c r="V20" s="371"/>
      <c r="W20" s="350"/>
      <c r="X20" s="326">
        <v>77.5</v>
      </c>
      <c r="Y20"/>
      <c r="Z20"/>
    </row>
    <row r="21" spans="1:35" s="2" customFormat="1" ht="18.75" customHeight="1">
      <c r="A21" s="493" t="s">
        <v>62</v>
      </c>
      <c r="B21" s="519"/>
      <c r="C21" s="337">
        <v>25</v>
      </c>
      <c r="D21" s="340">
        <v>76.599999999999994</v>
      </c>
      <c r="E21" s="522"/>
      <c r="F21" s="495"/>
      <c r="G21" s="368">
        <v>52</v>
      </c>
      <c r="H21" s="523"/>
      <c r="I21" s="496"/>
      <c r="J21" s="329">
        <v>29.3</v>
      </c>
      <c r="K21" s="520"/>
      <c r="L21" s="496"/>
      <c r="M21" s="496"/>
      <c r="N21" s="496"/>
      <c r="O21" s="496"/>
      <c r="P21" s="496"/>
      <c r="Q21" s="496"/>
      <c r="R21" s="496"/>
      <c r="S21" s="496"/>
      <c r="T21" s="496"/>
      <c r="U21" s="496"/>
      <c r="V21" s="496"/>
      <c r="W21" s="496"/>
      <c r="X21" s="497"/>
      <c r="Y21"/>
      <c r="Z21"/>
    </row>
    <row r="22" spans="1:35" s="2" customFormat="1" ht="18.75" customHeight="1">
      <c r="A22" s="456" t="s">
        <v>457</v>
      </c>
      <c r="B22" s="456"/>
      <c r="C22" s="456"/>
      <c r="D22" s="456"/>
      <c r="E22" s="456"/>
      <c r="F22" s="456"/>
      <c r="G22" s="456"/>
      <c r="H22" s="456"/>
      <c r="I22" s="456"/>
      <c r="J22" s="456"/>
      <c r="K22" s="456"/>
      <c r="L22" s="456"/>
      <c r="M22" s="456"/>
      <c r="N22" s="456"/>
      <c r="O22" s="456"/>
      <c r="P22" s="456"/>
      <c r="Q22" s="456"/>
      <c r="R22" s="456"/>
      <c r="S22" s="456"/>
      <c r="T22" s="456"/>
      <c r="U22" s="456"/>
      <c r="V22" s="456"/>
      <c r="W22" s="456"/>
      <c r="X22" s="456"/>
      <c r="Y22"/>
      <c r="Z22"/>
    </row>
    <row r="23" spans="1:35" s="2" customFormat="1" ht="18.75" customHeight="1">
      <c r="A23" s="453" t="s">
        <v>458</v>
      </c>
      <c r="B23" s="453"/>
      <c r="C23" s="453"/>
      <c r="D23" s="453"/>
      <c r="E23" s="453"/>
      <c r="F23" s="453"/>
      <c r="G23" s="453"/>
      <c r="H23" s="453"/>
      <c r="I23" s="453"/>
      <c r="J23" s="453"/>
      <c r="K23" s="453"/>
      <c r="L23" s="453"/>
      <c r="M23" s="453"/>
      <c r="N23" s="453"/>
      <c r="O23" s="453"/>
      <c r="P23" s="453"/>
      <c r="Q23" s="453"/>
      <c r="R23" s="453"/>
      <c r="S23" s="453"/>
      <c r="T23" s="453"/>
      <c r="U23" s="453"/>
      <c r="V23" s="453"/>
      <c r="W23" s="453"/>
      <c r="X23" s="453"/>
      <c r="Y23"/>
    </row>
    <row r="24" spans="1:35" s="2" customFormat="1" ht="18.75" customHeight="1">
      <c r="A24" s="454" t="s">
        <v>65</v>
      </c>
      <c r="B24" s="454"/>
      <c r="C24" s="454"/>
      <c r="D24" s="454"/>
      <c r="E24" s="454"/>
      <c r="F24" s="454"/>
      <c r="G24" s="454"/>
      <c r="H24" s="454"/>
      <c r="I24" s="454"/>
      <c r="J24" s="454"/>
      <c r="K24" s="454"/>
      <c r="L24" s="454"/>
      <c r="M24" s="454"/>
      <c r="N24" s="454"/>
      <c r="O24" s="454"/>
      <c r="P24" s="454"/>
      <c r="Q24" s="454"/>
      <c r="R24" s="454"/>
      <c r="S24" s="454"/>
      <c r="T24" s="454"/>
      <c r="U24" s="454"/>
      <c r="V24" s="454"/>
      <c r="W24" s="454"/>
      <c r="X24" s="454"/>
      <c r="Y24"/>
      <c r="AI24" s="3"/>
    </row>
  </sheetData>
  <mergeCells count="26">
    <mergeCell ref="A1:A4"/>
    <mergeCell ref="U5:V5"/>
    <mergeCell ref="A20:B20"/>
    <mergeCell ref="A21:B21"/>
    <mergeCell ref="N5:P5"/>
    <mergeCell ref="H5:J5"/>
    <mergeCell ref="K5:M5"/>
    <mergeCell ref="B1:S2"/>
    <mergeCell ref="T1:X4"/>
    <mergeCell ref="B3:S4"/>
    <mergeCell ref="X5:X6"/>
    <mergeCell ref="S5:T5"/>
    <mergeCell ref="A23:X23"/>
    <mergeCell ref="A24:X24"/>
    <mergeCell ref="A5:A6"/>
    <mergeCell ref="C5:C6"/>
    <mergeCell ref="D5:D6"/>
    <mergeCell ref="E5:G5"/>
    <mergeCell ref="B5:B6"/>
    <mergeCell ref="R5:R6"/>
    <mergeCell ref="A22:X22"/>
    <mergeCell ref="W5:W6"/>
    <mergeCell ref="Q5:Q6"/>
    <mergeCell ref="E21:F21"/>
    <mergeCell ref="H21:I21"/>
    <mergeCell ref="K21:X21"/>
  </mergeCells>
  <pageMargins left="0.25" right="0.25" top="0.75" bottom="0.75" header="0.3" footer="0.3"/>
  <pageSetup paperSize="5" orientation="landscape" r:id="rId1"/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5" tint="-0.499984740745262"/>
  </sheetPr>
  <dimension ref="A1:AI27"/>
  <sheetViews>
    <sheetView zoomScaleNormal="100" workbookViewId="0">
      <selection activeCell="B1" sqref="B1:S2"/>
    </sheetView>
  </sheetViews>
  <sheetFormatPr defaultColWidth="9.140625" defaultRowHeight="15"/>
  <cols>
    <col min="1" max="1" width="25.140625" customWidth="1"/>
    <col min="2" max="2" width="7" customWidth="1"/>
    <col min="3" max="3" width="5.7109375" style="1" customWidth="1"/>
    <col min="4" max="4" width="6.140625" style="1" customWidth="1"/>
    <col min="5" max="23" width="5.7109375" style="1" customWidth="1"/>
    <col min="24" max="24" width="6.140625" style="1" customWidth="1"/>
    <col min="25" max="255" width="11.42578125" customWidth="1"/>
  </cols>
  <sheetData>
    <row r="1" spans="1:24" ht="14.25" customHeight="1">
      <c r="A1" s="535"/>
      <c r="B1" s="421" t="s">
        <v>459</v>
      </c>
      <c r="C1" s="421"/>
      <c r="D1" s="421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1"/>
      <c r="Q1" s="421"/>
      <c r="R1" s="421"/>
      <c r="S1" s="421"/>
      <c r="T1" s="409"/>
      <c r="U1" s="409"/>
      <c r="V1" s="409"/>
      <c r="W1" s="409"/>
      <c r="X1" s="410"/>
    </row>
    <row r="2" spans="1:24" ht="14.25" customHeight="1">
      <c r="A2" s="536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11"/>
      <c r="U2" s="411"/>
      <c r="V2" s="411"/>
      <c r="W2" s="411"/>
      <c r="X2" s="412"/>
    </row>
    <row r="3" spans="1:24" ht="15" customHeight="1">
      <c r="A3" s="536"/>
      <c r="B3" s="530" t="s">
        <v>460</v>
      </c>
      <c r="C3" s="530"/>
      <c r="D3" s="530"/>
      <c r="E3" s="530"/>
      <c r="F3" s="530"/>
      <c r="G3" s="530"/>
      <c r="H3" s="530"/>
      <c r="I3" s="530"/>
      <c r="J3" s="530"/>
      <c r="K3" s="530"/>
      <c r="L3" s="530"/>
      <c r="M3" s="530"/>
      <c r="N3" s="530"/>
      <c r="O3" s="530"/>
      <c r="P3" s="530"/>
      <c r="Q3" s="530"/>
      <c r="R3" s="530"/>
      <c r="S3" s="530"/>
      <c r="T3" s="411"/>
      <c r="U3" s="411"/>
      <c r="V3" s="411"/>
      <c r="W3" s="411"/>
      <c r="X3" s="412"/>
    </row>
    <row r="4" spans="1:24" ht="15.75" customHeight="1">
      <c r="A4" s="536"/>
      <c r="B4" s="530"/>
      <c r="C4" s="530"/>
      <c r="D4" s="530"/>
      <c r="E4" s="530"/>
      <c r="F4" s="530"/>
      <c r="G4" s="530"/>
      <c r="H4" s="530"/>
      <c r="I4" s="530"/>
      <c r="J4" s="530"/>
      <c r="K4" s="530"/>
      <c r="L4" s="530"/>
      <c r="M4" s="530"/>
      <c r="N4" s="530"/>
      <c r="O4" s="530"/>
      <c r="P4" s="530"/>
      <c r="Q4" s="530"/>
      <c r="R4" s="530"/>
      <c r="S4" s="530"/>
      <c r="T4" s="411"/>
      <c r="U4" s="411"/>
      <c r="V4" s="411"/>
      <c r="W4" s="411"/>
      <c r="X4" s="412"/>
    </row>
    <row r="5" spans="1:24" ht="15" customHeight="1">
      <c r="A5" s="413" t="s">
        <v>2</v>
      </c>
      <c r="B5" s="430" t="s">
        <v>3</v>
      </c>
      <c r="C5" s="415" t="s">
        <v>4</v>
      </c>
      <c r="D5" s="468" t="s">
        <v>5</v>
      </c>
      <c r="E5" s="434" t="s">
        <v>6</v>
      </c>
      <c r="F5" s="435"/>
      <c r="G5" s="427"/>
      <c r="H5" s="426" t="s">
        <v>7</v>
      </c>
      <c r="I5" s="435"/>
      <c r="J5" s="430"/>
      <c r="K5" s="434" t="s">
        <v>8</v>
      </c>
      <c r="L5" s="435"/>
      <c r="M5" s="427"/>
      <c r="N5" s="428" t="s">
        <v>9</v>
      </c>
      <c r="O5" s="439"/>
      <c r="P5" s="429"/>
      <c r="Q5" s="419" t="s">
        <v>10</v>
      </c>
      <c r="R5" s="415" t="s">
        <v>11</v>
      </c>
      <c r="S5" s="426" t="s">
        <v>12</v>
      </c>
      <c r="T5" s="427"/>
      <c r="U5" s="428" t="s">
        <v>13</v>
      </c>
      <c r="V5" s="429"/>
      <c r="W5" s="475" t="s">
        <v>14</v>
      </c>
      <c r="X5" s="468" t="s">
        <v>15</v>
      </c>
    </row>
    <row r="6" spans="1:24" ht="15" customHeight="1">
      <c r="A6" s="414"/>
      <c r="B6" s="431"/>
      <c r="C6" s="416"/>
      <c r="D6" s="438"/>
      <c r="E6" s="135" t="s">
        <v>16</v>
      </c>
      <c r="F6" s="134" t="s">
        <v>17</v>
      </c>
      <c r="G6" s="136" t="s">
        <v>18</v>
      </c>
      <c r="H6" s="133" t="s">
        <v>16</v>
      </c>
      <c r="I6" s="134" t="s">
        <v>17</v>
      </c>
      <c r="J6" s="132" t="s">
        <v>18</v>
      </c>
      <c r="K6" s="135" t="s">
        <v>16</v>
      </c>
      <c r="L6" s="134" t="s">
        <v>17</v>
      </c>
      <c r="M6" s="136" t="s">
        <v>18</v>
      </c>
      <c r="N6" s="145" t="s">
        <v>19</v>
      </c>
      <c r="O6" s="141" t="s">
        <v>20</v>
      </c>
      <c r="P6" s="146" t="s">
        <v>21</v>
      </c>
      <c r="Q6" s="420"/>
      <c r="R6" s="416"/>
      <c r="S6" s="133" t="s">
        <v>22</v>
      </c>
      <c r="T6" s="136" t="s">
        <v>23</v>
      </c>
      <c r="U6" s="145" t="s">
        <v>24</v>
      </c>
      <c r="V6" s="146" t="s">
        <v>25</v>
      </c>
      <c r="W6" s="476"/>
      <c r="X6" s="438"/>
    </row>
    <row r="7" spans="1:24" ht="18.75" customHeight="1">
      <c r="A7" s="94" t="s">
        <v>461</v>
      </c>
      <c r="B7" s="52" t="s">
        <v>33</v>
      </c>
      <c r="C7" s="57">
        <v>22</v>
      </c>
      <c r="D7" s="232">
        <v>20.8</v>
      </c>
      <c r="E7" s="30">
        <f>110/22</f>
        <v>5</v>
      </c>
      <c r="F7" s="6">
        <f>187/22</f>
        <v>8.5</v>
      </c>
      <c r="G7" s="167">
        <v>58.8</v>
      </c>
      <c r="H7" s="26">
        <f>37/22</f>
        <v>1.6818181818181819</v>
      </c>
      <c r="I7" s="6">
        <f>91/22</f>
        <v>4.1363636363636367</v>
      </c>
      <c r="J7" s="177">
        <v>40.700000000000003</v>
      </c>
      <c r="K7" s="30">
        <f>126/22</f>
        <v>5.7272727272727275</v>
      </c>
      <c r="L7" s="6">
        <f>154/22</f>
        <v>7</v>
      </c>
      <c r="M7" s="166">
        <v>81.8</v>
      </c>
      <c r="N7" s="26">
        <v>2.2999999999999998</v>
      </c>
      <c r="O7" s="7">
        <v>0.6</v>
      </c>
      <c r="P7" s="27">
        <v>2.9</v>
      </c>
      <c r="Q7" s="287">
        <v>3.3</v>
      </c>
      <c r="R7" s="57">
        <v>0</v>
      </c>
      <c r="S7" s="26">
        <v>3.5</v>
      </c>
      <c r="T7" s="103">
        <v>1.3</v>
      </c>
      <c r="U7" s="26">
        <v>1.3</v>
      </c>
      <c r="V7" s="100" t="s">
        <v>28</v>
      </c>
      <c r="W7" s="57" t="s">
        <v>272</v>
      </c>
      <c r="X7" s="232">
        <v>21.5</v>
      </c>
    </row>
    <row r="8" spans="1:24" ht="18.75" customHeight="1">
      <c r="A8" s="127" t="s">
        <v>462</v>
      </c>
      <c r="B8" s="51" t="s">
        <v>33</v>
      </c>
      <c r="C8" s="56">
        <v>7</v>
      </c>
      <c r="D8" s="235">
        <v>14.4</v>
      </c>
      <c r="E8" s="29">
        <f>35/7</f>
        <v>5</v>
      </c>
      <c r="F8" s="12">
        <f>61/7</f>
        <v>8.7142857142857135</v>
      </c>
      <c r="G8" s="216">
        <v>57.4</v>
      </c>
      <c r="H8" s="25">
        <f>6/7</f>
        <v>0.8571428571428571</v>
      </c>
      <c r="I8" s="12">
        <f>23/7</f>
        <v>3.2857142857142856</v>
      </c>
      <c r="J8" s="174">
        <v>26.1</v>
      </c>
      <c r="K8" s="29">
        <f>13/7</f>
        <v>1.8571428571428572</v>
      </c>
      <c r="L8" s="12">
        <f>26/7</f>
        <v>3.7142857142857144</v>
      </c>
      <c r="M8" s="216">
        <v>50</v>
      </c>
      <c r="N8" s="25">
        <v>4.7</v>
      </c>
      <c r="O8" s="12">
        <v>1.6</v>
      </c>
      <c r="P8" s="33">
        <v>6.3</v>
      </c>
      <c r="Q8" s="354">
        <v>3.1</v>
      </c>
      <c r="R8" s="56">
        <v>0.6</v>
      </c>
      <c r="S8" s="25">
        <v>2</v>
      </c>
      <c r="T8" s="22">
        <v>0.9</v>
      </c>
      <c r="U8" s="47">
        <v>1.6</v>
      </c>
      <c r="V8" s="99" t="s">
        <v>28</v>
      </c>
      <c r="W8" s="56" t="s">
        <v>176</v>
      </c>
      <c r="X8" s="235">
        <v>15.6</v>
      </c>
    </row>
    <row r="9" spans="1:24" ht="18.75" customHeight="1">
      <c r="A9" s="94" t="s">
        <v>463</v>
      </c>
      <c r="B9" s="52" t="s">
        <v>27</v>
      </c>
      <c r="C9" s="57">
        <v>25</v>
      </c>
      <c r="D9" s="234">
        <v>7.4</v>
      </c>
      <c r="E9" s="30">
        <f>78/25</f>
        <v>3.12</v>
      </c>
      <c r="F9" s="6">
        <f>119/25</f>
        <v>4.76</v>
      </c>
      <c r="G9" s="167">
        <v>65.5</v>
      </c>
      <c r="H9" s="26">
        <v>0.1</v>
      </c>
      <c r="I9" s="6">
        <v>0.1</v>
      </c>
      <c r="J9" s="237">
        <v>100</v>
      </c>
      <c r="K9" s="30">
        <v>1</v>
      </c>
      <c r="L9" s="6">
        <f>51/25</f>
        <v>2.04</v>
      </c>
      <c r="M9" s="167">
        <v>49</v>
      </c>
      <c r="N9" s="26">
        <v>5.0999999999999996</v>
      </c>
      <c r="O9" s="7">
        <v>2.5</v>
      </c>
      <c r="P9" s="27">
        <v>7.6</v>
      </c>
      <c r="Q9" s="287">
        <v>0.5</v>
      </c>
      <c r="R9" s="97">
        <v>0.5</v>
      </c>
      <c r="S9" s="26">
        <v>1</v>
      </c>
      <c r="T9" s="23">
        <v>0.5</v>
      </c>
      <c r="U9" s="26">
        <v>2.4</v>
      </c>
      <c r="V9" s="100" t="s">
        <v>28</v>
      </c>
      <c r="W9" s="57" t="s">
        <v>464</v>
      </c>
      <c r="X9" s="234">
        <v>12.1</v>
      </c>
    </row>
    <row r="10" spans="1:24" ht="18.75" customHeight="1">
      <c r="A10" s="127" t="s">
        <v>465</v>
      </c>
      <c r="B10" s="51" t="s">
        <v>33</v>
      </c>
      <c r="C10" s="56">
        <v>16</v>
      </c>
      <c r="D10" s="235">
        <v>11.4</v>
      </c>
      <c r="E10" s="29">
        <f>48/16</f>
        <v>3</v>
      </c>
      <c r="F10" s="12">
        <f>96/16</f>
        <v>6</v>
      </c>
      <c r="G10" s="216">
        <v>50</v>
      </c>
      <c r="H10" s="25">
        <f>17/16</f>
        <v>1.0625</v>
      </c>
      <c r="I10" s="12">
        <f>68/16</f>
        <v>4.25</v>
      </c>
      <c r="J10" s="174">
        <v>25</v>
      </c>
      <c r="K10" s="372">
        <f>35/16</f>
        <v>2.1875</v>
      </c>
      <c r="L10" s="12">
        <f>55/16</f>
        <v>3.4375</v>
      </c>
      <c r="M10" s="374">
        <v>63.6</v>
      </c>
      <c r="N10" s="47">
        <v>1.6</v>
      </c>
      <c r="O10" s="12">
        <v>0.9</v>
      </c>
      <c r="P10" s="33">
        <v>2.5</v>
      </c>
      <c r="Q10" s="288">
        <v>6.6</v>
      </c>
      <c r="R10" s="56">
        <v>0.1</v>
      </c>
      <c r="S10" s="47">
        <v>4.4000000000000004</v>
      </c>
      <c r="T10" s="22">
        <v>1.9</v>
      </c>
      <c r="U10" s="25">
        <v>3.1</v>
      </c>
      <c r="V10" s="99" t="s">
        <v>28</v>
      </c>
      <c r="W10" s="56" t="s">
        <v>466</v>
      </c>
      <c r="X10" s="233">
        <v>11.1</v>
      </c>
    </row>
    <row r="11" spans="1:24" ht="18.75" customHeight="1">
      <c r="A11" s="94" t="s">
        <v>467</v>
      </c>
      <c r="B11" s="52" t="s">
        <v>33</v>
      </c>
      <c r="C11" s="57">
        <v>19</v>
      </c>
      <c r="D11" s="234">
        <v>8.9</v>
      </c>
      <c r="E11" s="30">
        <f>64/19</f>
        <v>3.3684210526315788</v>
      </c>
      <c r="F11" s="6">
        <f>108/19</f>
        <v>5.6842105263157894</v>
      </c>
      <c r="G11" s="167">
        <v>59.3</v>
      </c>
      <c r="H11" s="26">
        <v>0.1</v>
      </c>
      <c r="I11" s="6">
        <f>7/19</f>
        <v>0.36842105263157893</v>
      </c>
      <c r="J11" s="177">
        <v>14.3</v>
      </c>
      <c r="K11" s="30">
        <f>38/19</f>
        <v>2</v>
      </c>
      <c r="L11" s="6">
        <f>58/19</f>
        <v>3.0526315789473686</v>
      </c>
      <c r="M11" s="167">
        <v>65.5</v>
      </c>
      <c r="N11" s="49">
        <v>2.8</v>
      </c>
      <c r="O11" s="6">
        <v>1.4</v>
      </c>
      <c r="P11" s="27">
        <v>4.2</v>
      </c>
      <c r="Q11" s="285">
        <v>0.9</v>
      </c>
      <c r="R11" s="97">
        <v>0.6</v>
      </c>
      <c r="S11" s="49">
        <v>1.7</v>
      </c>
      <c r="T11" s="23">
        <v>0.4</v>
      </c>
      <c r="U11" s="26">
        <v>3.3</v>
      </c>
      <c r="V11" s="100" t="s">
        <v>28</v>
      </c>
      <c r="W11" s="57" t="s">
        <v>36</v>
      </c>
      <c r="X11" s="234">
        <v>8.6999999999999993</v>
      </c>
    </row>
    <row r="12" spans="1:24" ht="18.75" customHeight="1">
      <c r="A12" s="127" t="s">
        <v>468</v>
      </c>
      <c r="B12" s="51" t="s">
        <v>27</v>
      </c>
      <c r="C12" s="56">
        <v>24</v>
      </c>
      <c r="D12" s="235">
        <v>5.0999999999999996</v>
      </c>
      <c r="E12" s="29">
        <f>20/24</f>
        <v>0.83333333333333337</v>
      </c>
      <c r="F12" s="12">
        <f>36/24</f>
        <v>1.5</v>
      </c>
      <c r="G12" s="165">
        <v>55.6</v>
      </c>
      <c r="H12" s="25">
        <f>18/24</f>
        <v>0.75</v>
      </c>
      <c r="I12" s="12">
        <f>61/24</f>
        <v>2.5416666666666665</v>
      </c>
      <c r="J12" s="174">
        <v>29.5</v>
      </c>
      <c r="K12" s="29">
        <f>28/24</f>
        <v>1.1666666666666667</v>
      </c>
      <c r="L12" s="12">
        <f>39/24</f>
        <v>1.625</v>
      </c>
      <c r="M12" s="216">
        <v>71.8</v>
      </c>
      <c r="N12" s="25">
        <v>2.2999999999999998</v>
      </c>
      <c r="O12" s="11">
        <v>0.4</v>
      </c>
      <c r="P12" s="33">
        <v>2.7</v>
      </c>
      <c r="Q12" s="286">
        <v>1.6</v>
      </c>
      <c r="R12" s="249">
        <v>0.1</v>
      </c>
      <c r="S12" s="47">
        <v>0.9</v>
      </c>
      <c r="T12" s="22">
        <v>0.7</v>
      </c>
      <c r="U12" s="47">
        <v>2.2999999999999998</v>
      </c>
      <c r="V12" s="99" t="s">
        <v>28</v>
      </c>
      <c r="W12" s="56" t="s">
        <v>469</v>
      </c>
      <c r="X12" s="235">
        <v>5.3</v>
      </c>
    </row>
    <row r="13" spans="1:24" ht="18.75" customHeight="1">
      <c r="A13" s="94" t="s">
        <v>470</v>
      </c>
      <c r="B13" s="52" t="s">
        <v>59</v>
      </c>
      <c r="C13" s="57">
        <v>25</v>
      </c>
      <c r="D13" s="232">
        <v>6.8</v>
      </c>
      <c r="E13" s="30">
        <f>41/25</f>
        <v>1.64</v>
      </c>
      <c r="F13" s="6">
        <f>88/25</f>
        <v>3.52</v>
      </c>
      <c r="G13" s="166">
        <v>46.6</v>
      </c>
      <c r="H13" s="26">
        <f>21/25</f>
        <v>0.84</v>
      </c>
      <c r="I13" s="6">
        <f>81/25</f>
        <v>3.24</v>
      </c>
      <c r="J13" s="177">
        <v>25.9</v>
      </c>
      <c r="K13" s="30">
        <f>26/25</f>
        <v>1.04</v>
      </c>
      <c r="L13" s="6">
        <f>37/25</f>
        <v>1.48</v>
      </c>
      <c r="M13" s="167">
        <v>70.3</v>
      </c>
      <c r="N13" s="26">
        <v>1.9</v>
      </c>
      <c r="O13" s="7">
        <v>0.6</v>
      </c>
      <c r="P13" s="27">
        <v>2.4</v>
      </c>
      <c r="Q13" s="287">
        <v>1.2</v>
      </c>
      <c r="R13" s="250">
        <v>0.4</v>
      </c>
      <c r="S13" s="49">
        <v>1.4</v>
      </c>
      <c r="T13" s="103">
        <v>1</v>
      </c>
      <c r="U13" s="49">
        <v>1.7</v>
      </c>
      <c r="V13" s="100" t="s">
        <v>28</v>
      </c>
      <c r="W13" s="57" t="s">
        <v>471</v>
      </c>
      <c r="X13" s="232">
        <v>5.2</v>
      </c>
    </row>
    <row r="14" spans="1:24" ht="18.75" customHeight="1">
      <c r="A14" s="127" t="s">
        <v>472</v>
      </c>
      <c r="B14" s="51" t="s">
        <v>27</v>
      </c>
      <c r="C14" s="56">
        <v>25</v>
      </c>
      <c r="D14" s="233">
        <v>4.9000000000000004</v>
      </c>
      <c r="E14" s="29">
        <f>46/25</f>
        <v>1.84</v>
      </c>
      <c r="F14" s="12">
        <f>76/25</f>
        <v>3.04</v>
      </c>
      <c r="G14" s="165">
        <v>60.5</v>
      </c>
      <c r="H14" s="25">
        <f>6/25</f>
        <v>0.24</v>
      </c>
      <c r="I14" s="12">
        <f>23/25</f>
        <v>0.92</v>
      </c>
      <c r="J14" s="174">
        <v>26.1</v>
      </c>
      <c r="K14" s="29">
        <f>13/25</f>
        <v>0.52</v>
      </c>
      <c r="L14" s="12">
        <f>28/25</f>
        <v>1.1200000000000001</v>
      </c>
      <c r="M14" s="216">
        <v>46.4</v>
      </c>
      <c r="N14" s="47">
        <v>2.1</v>
      </c>
      <c r="O14" s="12">
        <v>1</v>
      </c>
      <c r="P14" s="33">
        <v>3</v>
      </c>
      <c r="Q14" s="288">
        <v>1</v>
      </c>
      <c r="R14" s="56">
        <v>0.2</v>
      </c>
      <c r="S14" s="47">
        <v>1.4</v>
      </c>
      <c r="T14" s="102">
        <v>1</v>
      </c>
      <c r="U14" s="47">
        <v>2.4</v>
      </c>
      <c r="V14" s="99" t="s">
        <v>28</v>
      </c>
      <c r="W14" s="56" t="s">
        <v>469</v>
      </c>
      <c r="X14" s="235">
        <v>5</v>
      </c>
    </row>
    <row r="15" spans="1:24" ht="18.75" customHeight="1">
      <c r="A15" s="94" t="s">
        <v>473</v>
      </c>
      <c r="B15" s="52" t="s">
        <v>33</v>
      </c>
      <c r="C15" s="57">
        <v>9</v>
      </c>
      <c r="D15" s="234">
        <v>6.2</v>
      </c>
      <c r="E15" s="30">
        <f>14/9</f>
        <v>1.5555555555555556</v>
      </c>
      <c r="F15" s="6">
        <f>17/9</f>
        <v>1.8888888888888888</v>
      </c>
      <c r="G15" s="167">
        <v>82.4</v>
      </c>
      <c r="H15" s="26">
        <f>8/9</f>
        <v>0.88888888888888884</v>
      </c>
      <c r="I15" s="6">
        <f>35/9</f>
        <v>3.8888888888888888</v>
      </c>
      <c r="J15" s="177">
        <v>22.9</v>
      </c>
      <c r="K15" s="30">
        <f>4/9</f>
        <v>0.44444444444444442</v>
      </c>
      <c r="L15" s="6">
        <v>0.4</v>
      </c>
      <c r="M15" s="217">
        <v>100</v>
      </c>
      <c r="N15" s="49">
        <v>2.4</v>
      </c>
      <c r="O15" s="7">
        <v>0.1</v>
      </c>
      <c r="P15" s="27">
        <v>2.6</v>
      </c>
      <c r="Q15" s="287">
        <v>0.3</v>
      </c>
      <c r="R15" s="250">
        <v>0.1</v>
      </c>
      <c r="S15" s="26">
        <v>0.9</v>
      </c>
      <c r="T15" s="23">
        <v>0.6</v>
      </c>
      <c r="U15" s="49">
        <v>2.2000000000000002</v>
      </c>
      <c r="V15" s="100" t="s">
        <v>28</v>
      </c>
      <c r="W15" s="57" t="s">
        <v>474</v>
      </c>
      <c r="X15" s="232">
        <v>4</v>
      </c>
    </row>
    <row r="16" spans="1:24" ht="18.75" customHeight="1">
      <c r="A16" s="127" t="s">
        <v>475</v>
      </c>
      <c r="B16" s="51" t="s">
        <v>27</v>
      </c>
      <c r="C16" s="56">
        <v>18</v>
      </c>
      <c r="D16" s="235">
        <v>2.2999999999999998</v>
      </c>
      <c r="E16" s="29">
        <f>16/18</f>
        <v>0.88888888888888884</v>
      </c>
      <c r="F16" s="12">
        <f>29/18</f>
        <v>1.6111111111111112</v>
      </c>
      <c r="G16" s="165">
        <v>55.2</v>
      </c>
      <c r="H16" s="25">
        <f>2/18</f>
        <v>0.1111111111111111</v>
      </c>
      <c r="I16" s="12">
        <f>7/18</f>
        <v>0.3888888888888889</v>
      </c>
      <c r="J16" s="174">
        <v>28.6</v>
      </c>
      <c r="K16" s="29">
        <f>3/18</f>
        <v>0.16666666666666666</v>
      </c>
      <c r="L16" s="12">
        <f>5/18</f>
        <v>0.27777777777777779</v>
      </c>
      <c r="M16" s="216">
        <v>60</v>
      </c>
      <c r="N16" s="47">
        <v>0.8</v>
      </c>
      <c r="O16" s="15">
        <v>0.8</v>
      </c>
      <c r="P16" s="33">
        <v>1.6</v>
      </c>
      <c r="Q16" s="286">
        <v>0.4</v>
      </c>
      <c r="R16" s="363">
        <v>0.1</v>
      </c>
      <c r="S16" s="47">
        <v>0.4</v>
      </c>
      <c r="T16" s="22">
        <v>0.3</v>
      </c>
      <c r="U16" s="47">
        <v>0.4</v>
      </c>
      <c r="V16" s="99" t="s">
        <v>28</v>
      </c>
      <c r="W16" s="56" t="s">
        <v>476</v>
      </c>
      <c r="X16" s="235">
        <v>2.9</v>
      </c>
    </row>
    <row r="17" spans="1:35" ht="18.75" customHeight="1">
      <c r="A17" s="94" t="s">
        <v>477</v>
      </c>
      <c r="B17" s="52" t="s">
        <v>27</v>
      </c>
      <c r="C17" s="57">
        <v>20</v>
      </c>
      <c r="D17" s="232">
        <v>3.4</v>
      </c>
      <c r="E17" s="30">
        <f>25/20</f>
        <v>1.25</v>
      </c>
      <c r="F17" s="6">
        <f>47/20</f>
        <v>2.35</v>
      </c>
      <c r="G17" s="167">
        <v>53.2</v>
      </c>
      <c r="H17" s="26">
        <f>2/20</f>
        <v>0.1</v>
      </c>
      <c r="I17" s="6">
        <f>27/20</f>
        <v>1.35</v>
      </c>
      <c r="J17" s="177">
        <v>7.4</v>
      </c>
      <c r="K17" s="30">
        <f>12/20</f>
        <v>0.6</v>
      </c>
      <c r="L17" s="6">
        <f>29/20</f>
        <v>1.45</v>
      </c>
      <c r="M17" s="167">
        <v>41.4</v>
      </c>
      <c r="N17" s="26">
        <v>1.6</v>
      </c>
      <c r="O17" s="10">
        <v>0.8</v>
      </c>
      <c r="P17" s="27">
        <v>2.4</v>
      </c>
      <c r="Q17" s="285">
        <v>0.3</v>
      </c>
      <c r="R17" s="250">
        <v>0.2</v>
      </c>
      <c r="S17" s="26">
        <v>1</v>
      </c>
      <c r="T17" s="103">
        <v>0.2</v>
      </c>
      <c r="U17" s="26">
        <v>1.2</v>
      </c>
      <c r="V17" s="100" t="s">
        <v>28</v>
      </c>
      <c r="W17" s="57" t="s">
        <v>478</v>
      </c>
      <c r="X17" s="232">
        <v>2.2000000000000002</v>
      </c>
    </row>
    <row r="18" spans="1:35" ht="18.75" customHeight="1">
      <c r="A18" s="127" t="s">
        <v>479</v>
      </c>
      <c r="B18" s="51" t="s">
        <v>27</v>
      </c>
      <c r="C18" s="56">
        <v>24</v>
      </c>
      <c r="D18" s="235">
        <v>2.8</v>
      </c>
      <c r="E18" s="29">
        <v>0.5</v>
      </c>
      <c r="F18" s="12">
        <f>22/24</f>
        <v>0.91666666666666663</v>
      </c>
      <c r="G18" s="165">
        <v>54.5</v>
      </c>
      <c r="H18" s="25">
        <f>14/24</f>
        <v>0.58333333333333337</v>
      </c>
      <c r="I18" s="12">
        <f>42/24</f>
        <v>1.75</v>
      </c>
      <c r="J18" s="174">
        <v>33.299999999999997</v>
      </c>
      <c r="K18" s="29">
        <f>2/24</f>
        <v>8.3333333333333329E-2</v>
      </c>
      <c r="L18" s="12">
        <f>4/24</f>
        <v>0.16666666666666666</v>
      </c>
      <c r="M18" s="216">
        <v>50</v>
      </c>
      <c r="N18" s="25">
        <v>0.9</v>
      </c>
      <c r="O18" s="11">
        <v>0.3</v>
      </c>
      <c r="P18" s="33">
        <v>1.2</v>
      </c>
      <c r="Q18" s="286">
        <v>0.7</v>
      </c>
      <c r="R18" s="284">
        <v>0</v>
      </c>
      <c r="S18" s="47">
        <v>0.8</v>
      </c>
      <c r="T18" s="22">
        <v>0.4</v>
      </c>
      <c r="U18" s="47">
        <v>1.2</v>
      </c>
      <c r="V18" s="99" t="s">
        <v>28</v>
      </c>
      <c r="W18" s="56" t="s">
        <v>480</v>
      </c>
      <c r="X18" s="235">
        <v>2</v>
      </c>
    </row>
    <row r="19" spans="1:35" ht="18.75" customHeight="1">
      <c r="A19" s="94" t="s">
        <v>481</v>
      </c>
      <c r="B19" s="52" t="s">
        <v>27</v>
      </c>
      <c r="C19" s="57">
        <v>22</v>
      </c>
      <c r="D19" s="234">
        <v>4.5</v>
      </c>
      <c r="E19" s="30">
        <f>20/22</f>
        <v>0.90909090909090906</v>
      </c>
      <c r="F19" s="6">
        <f>45/22</f>
        <v>2.0454545454545454</v>
      </c>
      <c r="G19" s="167">
        <v>44.4</v>
      </c>
      <c r="H19" s="26">
        <f>17/22</f>
        <v>0.77272727272727271</v>
      </c>
      <c r="I19" s="6">
        <f>57/22</f>
        <v>2.5909090909090908</v>
      </c>
      <c r="J19" s="177">
        <v>29.8</v>
      </c>
      <c r="K19" s="30">
        <f>8/22</f>
        <v>0.36363636363636365</v>
      </c>
      <c r="L19" s="6">
        <f>16/22</f>
        <v>0.72727272727272729</v>
      </c>
      <c r="M19" s="167">
        <v>50</v>
      </c>
      <c r="N19" s="26">
        <v>2.1</v>
      </c>
      <c r="O19" s="6">
        <v>0.5</v>
      </c>
      <c r="P19" s="27">
        <v>2.6</v>
      </c>
      <c r="Q19" s="285">
        <v>0.5</v>
      </c>
      <c r="R19" s="373">
        <v>0</v>
      </c>
      <c r="S19" s="49">
        <v>1.2</v>
      </c>
      <c r="T19" s="23">
        <v>0.3</v>
      </c>
      <c r="U19" s="26">
        <v>2.7</v>
      </c>
      <c r="V19" s="100" t="s">
        <v>28</v>
      </c>
      <c r="W19" s="57" t="s">
        <v>229</v>
      </c>
      <c r="X19" s="234">
        <v>1.6</v>
      </c>
    </row>
    <row r="20" spans="1:35" ht="18.75" customHeight="1">
      <c r="A20" s="128" t="s">
        <v>482</v>
      </c>
      <c r="B20" s="75" t="s">
        <v>27</v>
      </c>
      <c r="C20" s="73">
        <v>10</v>
      </c>
      <c r="D20" s="240">
        <v>2.2999999999999998</v>
      </c>
      <c r="E20" s="241">
        <v>0.6</v>
      </c>
      <c r="F20" s="69">
        <v>1.3</v>
      </c>
      <c r="G20" s="168">
        <v>46.2</v>
      </c>
      <c r="H20" s="358">
        <v>0.2</v>
      </c>
      <c r="I20" s="69">
        <v>1.2</v>
      </c>
      <c r="J20" s="178">
        <v>16.7</v>
      </c>
      <c r="K20" s="241">
        <v>0.5</v>
      </c>
      <c r="L20" s="69">
        <v>1</v>
      </c>
      <c r="M20" s="171">
        <v>50</v>
      </c>
      <c r="N20" s="74">
        <v>0.3</v>
      </c>
      <c r="O20" s="72">
        <v>0.2</v>
      </c>
      <c r="P20" s="242">
        <v>0.5</v>
      </c>
      <c r="Q20" s="380">
        <v>0</v>
      </c>
      <c r="R20" s="73">
        <v>0</v>
      </c>
      <c r="S20" s="74">
        <v>0.6</v>
      </c>
      <c r="T20" s="66">
        <v>0.4</v>
      </c>
      <c r="U20" s="74">
        <v>0.6</v>
      </c>
      <c r="V20" s="243" t="s">
        <v>28</v>
      </c>
      <c r="W20" s="73" t="s">
        <v>483</v>
      </c>
      <c r="X20" s="240">
        <v>0.7</v>
      </c>
    </row>
    <row r="21" spans="1:35" s="2" customFormat="1" ht="18.75" customHeight="1">
      <c r="A21" s="537" t="s">
        <v>484</v>
      </c>
      <c r="B21" s="538"/>
      <c r="C21" s="321">
        <v>26</v>
      </c>
      <c r="D21" s="322">
        <v>72.2</v>
      </c>
      <c r="E21" s="258">
        <f>539/26</f>
        <v>20.73076923076923</v>
      </c>
      <c r="F21" s="259">
        <f>954/26</f>
        <v>36.692307692307693</v>
      </c>
      <c r="G21" s="260">
        <v>56.5</v>
      </c>
      <c r="H21" s="323">
        <f>153/26</f>
        <v>5.884615384615385</v>
      </c>
      <c r="I21" s="259">
        <f>542/26</f>
        <v>20.846153846153847</v>
      </c>
      <c r="J21" s="257">
        <v>28.2</v>
      </c>
      <c r="K21" s="258">
        <f>340/26</f>
        <v>13.076923076923077</v>
      </c>
      <c r="L21" s="259">
        <f>520/26</f>
        <v>20</v>
      </c>
      <c r="M21" s="260">
        <v>65.400000000000006</v>
      </c>
      <c r="N21" s="261">
        <v>22.7</v>
      </c>
      <c r="O21" s="262">
        <v>8.6999999999999993</v>
      </c>
      <c r="P21" s="263">
        <v>31.4</v>
      </c>
      <c r="Q21" s="362">
        <v>14.3</v>
      </c>
      <c r="R21" s="264">
        <v>2</v>
      </c>
      <c r="S21" s="323">
        <v>15.6</v>
      </c>
      <c r="T21" s="267">
        <v>7.3</v>
      </c>
      <c r="U21" s="323">
        <v>20.3</v>
      </c>
      <c r="V21" s="324"/>
      <c r="W21" s="325"/>
      <c r="X21" s="326">
        <v>70.5</v>
      </c>
      <c r="Y21"/>
      <c r="Z21"/>
    </row>
    <row r="22" spans="1:35" s="2" customFormat="1" ht="18.75" customHeight="1">
      <c r="A22" s="539" t="s">
        <v>62</v>
      </c>
      <c r="B22" s="540"/>
      <c r="C22" s="376">
        <v>26</v>
      </c>
      <c r="D22" s="377" t="s">
        <v>485</v>
      </c>
      <c r="E22" s="531"/>
      <c r="F22" s="532"/>
      <c r="G22" s="378">
        <v>52.3</v>
      </c>
      <c r="H22" s="533"/>
      <c r="I22" s="534"/>
      <c r="J22" s="379">
        <v>33</v>
      </c>
      <c r="K22" s="541"/>
      <c r="L22" s="534"/>
      <c r="M22" s="534"/>
      <c r="N22" s="534"/>
      <c r="O22" s="534"/>
      <c r="P22" s="534"/>
      <c r="Q22" s="534"/>
      <c r="R22" s="534"/>
      <c r="S22" s="534"/>
      <c r="T22" s="534"/>
      <c r="U22" s="534"/>
      <c r="V22" s="534"/>
      <c r="W22" s="534"/>
      <c r="X22" s="542"/>
      <c r="Y22"/>
      <c r="Z22"/>
    </row>
    <row r="23" spans="1:35" s="2" customFormat="1" ht="18.75" customHeight="1">
      <c r="A23" s="437" t="s">
        <v>486</v>
      </c>
      <c r="B23" s="437"/>
      <c r="C23" s="437"/>
      <c r="D23" s="437"/>
      <c r="E23" s="437"/>
      <c r="F23" s="437"/>
      <c r="G23" s="437"/>
      <c r="H23" s="437"/>
      <c r="I23" s="437"/>
      <c r="J23" s="437"/>
      <c r="K23" s="437"/>
      <c r="L23" s="437"/>
      <c r="M23" s="437"/>
      <c r="N23" s="437"/>
      <c r="O23" s="437"/>
      <c r="P23" s="437"/>
      <c r="Q23" s="437"/>
      <c r="R23" s="437"/>
      <c r="S23" s="437"/>
      <c r="T23" s="437"/>
      <c r="U23" s="437"/>
      <c r="V23" s="437"/>
      <c r="W23" s="437"/>
      <c r="X23" s="437"/>
      <c r="Y23"/>
      <c r="Z23"/>
    </row>
    <row r="24" spans="1:35" s="2" customFormat="1" ht="18.75" customHeight="1">
      <c r="A24" s="432" t="s">
        <v>487</v>
      </c>
      <c r="B24" s="432"/>
      <c r="C24" s="432"/>
      <c r="D24" s="432"/>
      <c r="E24" s="432"/>
      <c r="F24" s="432"/>
      <c r="G24" s="432"/>
      <c r="H24" s="432"/>
      <c r="I24" s="432"/>
      <c r="J24" s="432"/>
      <c r="K24" s="432"/>
      <c r="L24" s="432"/>
      <c r="M24" s="432"/>
      <c r="N24" s="432"/>
      <c r="O24" s="432"/>
      <c r="P24" s="432"/>
      <c r="Q24" s="432"/>
      <c r="R24" s="432"/>
      <c r="S24" s="432"/>
      <c r="T24" s="432"/>
      <c r="U24" s="432"/>
      <c r="V24" s="432"/>
      <c r="W24" s="432"/>
      <c r="X24" s="432"/>
      <c r="Y24"/>
    </row>
    <row r="25" spans="1:35" s="2" customFormat="1" ht="18.75" customHeight="1">
      <c r="A25" s="433" t="s">
        <v>65</v>
      </c>
      <c r="B25" s="433"/>
      <c r="C25" s="433"/>
      <c r="D25" s="433"/>
      <c r="E25" s="433"/>
      <c r="F25" s="433"/>
      <c r="G25" s="433"/>
      <c r="H25" s="433"/>
      <c r="I25" s="433"/>
      <c r="J25" s="433"/>
      <c r="K25" s="433"/>
      <c r="L25" s="433"/>
      <c r="M25" s="433"/>
      <c r="N25" s="433"/>
      <c r="O25" s="433"/>
      <c r="P25" s="433"/>
      <c r="Q25" s="433"/>
      <c r="R25" s="433"/>
      <c r="S25" s="433"/>
      <c r="T25" s="433"/>
      <c r="U25" s="433"/>
      <c r="V25" s="433"/>
      <c r="W25" s="433"/>
      <c r="X25" s="433"/>
      <c r="Y25"/>
      <c r="AI25" s="3"/>
    </row>
    <row r="27" spans="1:35">
      <c r="C27"/>
    </row>
  </sheetData>
  <mergeCells count="26">
    <mergeCell ref="A23:X23"/>
    <mergeCell ref="S5:T5"/>
    <mergeCell ref="R5:R6"/>
    <mergeCell ref="K22:X22"/>
    <mergeCell ref="A1:A4"/>
    <mergeCell ref="A5:A6"/>
    <mergeCell ref="C5:C6"/>
    <mergeCell ref="B1:S2"/>
    <mergeCell ref="A25:X25"/>
    <mergeCell ref="W5:W6"/>
    <mergeCell ref="X5:X6"/>
    <mergeCell ref="H5:J5"/>
    <mergeCell ref="K5:M5"/>
    <mergeCell ref="B5:B6"/>
    <mergeCell ref="U5:V5"/>
    <mergeCell ref="N5:P5"/>
    <mergeCell ref="A24:X24"/>
    <mergeCell ref="A21:B21"/>
    <mergeCell ref="D5:D6"/>
    <mergeCell ref="A22:B22"/>
    <mergeCell ref="T1:X4"/>
    <mergeCell ref="B3:S4"/>
    <mergeCell ref="E5:G5"/>
    <mergeCell ref="Q5:Q6"/>
    <mergeCell ref="E22:F22"/>
    <mergeCell ref="H22:I22"/>
  </mergeCells>
  <pageMargins left="0.25" right="0.25" top="0.75" bottom="0.75" header="0.3" footer="0.3"/>
  <pageSetup paperSize="5" orientation="landscape" r:id="rId1"/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499984740745262"/>
  </sheetPr>
  <dimension ref="A1:AI30"/>
  <sheetViews>
    <sheetView zoomScaleNormal="100" workbookViewId="0">
      <selection activeCell="B1" sqref="B1:S2"/>
    </sheetView>
  </sheetViews>
  <sheetFormatPr defaultColWidth="9.140625" defaultRowHeight="15"/>
  <cols>
    <col min="1" max="1" width="25.140625" customWidth="1"/>
    <col min="2" max="2" width="7.140625" customWidth="1"/>
    <col min="3" max="3" width="5.7109375" style="1" customWidth="1"/>
    <col min="4" max="4" width="6.140625" style="1" customWidth="1"/>
    <col min="5" max="23" width="5.7109375" style="1" customWidth="1"/>
    <col min="24" max="24" width="6.140625" style="1" customWidth="1"/>
    <col min="25" max="255" width="11.42578125" customWidth="1"/>
  </cols>
  <sheetData>
    <row r="1" spans="1:24" ht="14.25" customHeight="1">
      <c r="A1" s="545"/>
      <c r="B1" s="421" t="s">
        <v>488</v>
      </c>
      <c r="C1" s="421"/>
      <c r="D1" s="421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1"/>
      <c r="Q1" s="421"/>
      <c r="R1" s="421"/>
      <c r="S1" s="421"/>
      <c r="T1" s="409"/>
      <c r="U1" s="409"/>
      <c r="V1" s="409"/>
      <c r="W1" s="409"/>
      <c r="X1" s="410"/>
    </row>
    <row r="2" spans="1:24" ht="14.25" customHeight="1">
      <c r="A2" s="546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11"/>
      <c r="U2" s="411"/>
      <c r="V2" s="411"/>
      <c r="W2" s="411"/>
      <c r="X2" s="412"/>
    </row>
    <row r="3" spans="1:24" ht="15" customHeight="1">
      <c r="A3" s="546"/>
      <c r="B3" s="547" t="s">
        <v>489</v>
      </c>
      <c r="C3" s="547"/>
      <c r="D3" s="547"/>
      <c r="E3" s="547"/>
      <c r="F3" s="547"/>
      <c r="G3" s="547"/>
      <c r="H3" s="547"/>
      <c r="I3" s="547"/>
      <c r="J3" s="547"/>
      <c r="K3" s="547"/>
      <c r="L3" s="547"/>
      <c r="M3" s="547"/>
      <c r="N3" s="547"/>
      <c r="O3" s="547"/>
      <c r="P3" s="547"/>
      <c r="Q3" s="547"/>
      <c r="R3" s="547"/>
      <c r="S3" s="547"/>
      <c r="T3" s="411"/>
      <c r="U3" s="411"/>
      <c r="V3" s="411"/>
      <c r="W3" s="411"/>
      <c r="X3" s="412"/>
    </row>
    <row r="4" spans="1:24" ht="15.75" customHeight="1">
      <c r="A4" s="546"/>
      <c r="B4" s="547"/>
      <c r="C4" s="547"/>
      <c r="D4" s="547"/>
      <c r="E4" s="547"/>
      <c r="F4" s="547"/>
      <c r="G4" s="547"/>
      <c r="H4" s="547"/>
      <c r="I4" s="547"/>
      <c r="J4" s="547"/>
      <c r="K4" s="547"/>
      <c r="L4" s="547"/>
      <c r="M4" s="547"/>
      <c r="N4" s="547"/>
      <c r="O4" s="547"/>
      <c r="P4" s="547"/>
      <c r="Q4" s="547"/>
      <c r="R4" s="547"/>
      <c r="S4" s="547"/>
      <c r="T4" s="411"/>
      <c r="U4" s="411"/>
      <c r="V4" s="411"/>
      <c r="W4" s="411"/>
      <c r="X4" s="412"/>
    </row>
    <row r="5" spans="1:24" ht="15" customHeight="1">
      <c r="A5" s="413" t="s">
        <v>2</v>
      </c>
      <c r="B5" s="430" t="s">
        <v>3</v>
      </c>
      <c r="C5" s="415" t="s">
        <v>4</v>
      </c>
      <c r="D5" s="417" t="s">
        <v>5</v>
      </c>
      <c r="E5" s="426" t="s">
        <v>6</v>
      </c>
      <c r="F5" s="435"/>
      <c r="G5" s="427"/>
      <c r="H5" s="426" t="s">
        <v>7</v>
      </c>
      <c r="I5" s="435"/>
      <c r="J5" s="427"/>
      <c r="K5" s="426" t="s">
        <v>8</v>
      </c>
      <c r="L5" s="435"/>
      <c r="M5" s="427"/>
      <c r="N5" s="428" t="s">
        <v>9</v>
      </c>
      <c r="O5" s="439"/>
      <c r="P5" s="429"/>
      <c r="Q5" s="419" t="s">
        <v>10</v>
      </c>
      <c r="R5" s="415" t="s">
        <v>11</v>
      </c>
      <c r="S5" s="426" t="s">
        <v>12</v>
      </c>
      <c r="T5" s="430"/>
      <c r="U5" s="548" t="s">
        <v>13</v>
      </c>
      <c r="V5" s="429"/>
      <c r="W5" s="424" t="s">
        <v>14</v>
      </c>
      <c r="X5" s="419" t="s">
        <v>15</v>
      </c>
    </row>
    <row r="6" spans="1:24" ht="15" customHeight="1">
      <c r="A6" s="414"/>
      <c r="B6" s="431"/>
      <c r="C6" s="416"/>
      <c r="D6" s="418"/>
      <c r="E6" s="133" t="s">
        <v>16</v>
      </c>
      <c r="F6" s="134" t="s">
        <v>17</v>
      </c>
      <c r="G6" s="136" t="s">
        <v>18</v>
      </c>
      <c r="H6" s="133" t="s">
        <v>16</v>
      </c>
      <c r="I6" s="134" t="s">
        <v>17</v>
      </c>
      <c r="J6" s="136" t="s">
        <v>18</v>
      </c>
      <c r="K6" s="133" t="s">
        <v>16</v>
      </c>
      <c r="L6" s="134" t="s">
        <v>17</v>
      </c>
      <c r="M6" s="136" t="s">
        <v>18</v>
      </c>
      <c r="N6" s="145" t="s">
        <v>19</v>
      </c>
      <c r="O6" s="141" t="s">
        <v>20</v>
      </c>
      <c r="P6" s="146" t="s">
        <v>21</v>
      </c>
      <c r="Q6" s="420"/>
      <c r="R6" s="416"/>
      <c r="S6" s="133" t="s">
        <v>22</v>
      </c>
      <c r="T6" s="132" t="s">
        <v>23</v>
      </c>
      <c r="U6" s="140" t="s">
        <v>24</v>
      </c>
      <c r="V6" s="146" t="s">
        <v>25</v>
      </c>
      <c r="W6" s="477"/>
      <c r="X6" s="420"/>
    </row>
    <row r="7" spans="1:24" ht="18.75" customHeight="1">
      <c r="A7" s="94" t="s">
        <v>490</v>
      </c>
      <c r="B7" s="52" t="s">
        <v>33</v>
      </c>
      <c r="C7" s="57">
        <v>2</v>
      </c>
      <c r="D7" s="210">
        <v>22.5</v>
      </c>
      <c r="E7" s="26">
        <f>18/2</f>
        <v>9</v>
      </c>
      <c r="F7" s="6">
        <v>14</v>
      </c>
      <c r="G7" s="167">
        <v>64.3</v>
      </c>
      <c r="H7" s="26">
        <v>1</v>
      </c>
      <c r="I7" s="6">
        <v>3.5</v>
      </c>
      <c r="J7" s="167">
        <v>28.6</v>
      </c>
      <c r="K7" s="26">
        <v>1.5</v>
      </c>
      <c r="L7" s="6">
        <v>3</v>
      </c>
      <c r="M7" s="167">
        <v>50</v>
      </c>
      <c r="N7" s="26">
        <v>6.5</v>
      </c>
      <c r="O7" s="6">
        <v>4</v>
      </c>
      <c r="P7" s="27">
        <v>10.5</v>
      </c>
      <c r="Q7" s="285">
        <v>1.5</v>
      </c>
      <c r="R7" s="373">
        <v>0</v>
      </c>
      <c r="S7" s="26">
        <v>2</v>
      </c>
      <c r="T7" s="50">
        <v>2</v>
      </c>
      <c r="U7" s="30">
        <v>1.5</v>
      </c>
      <c r="V7" s="100" t="s">
        <v>28</v>
      </c>
      <c r="W7" s="287" t="s">
        <v>330</v>
      </c>
      <c r="X7" s="214">
        <v>26.5</v>
      </c>
    </row>
    <row r="8" spans="1:24" ht="18.75" customHeight="1">
      <c r="A8" s="127" t="s">
        <v>491</v>
      </c>
      <c r="B8" s="51" t="s">
        <v>33</v>
      </c>
      <c r="C8" s="56">
        <v>12</v>
      </c>
      <c r="D8" s="211">
        <v>11.9</v>
      </c>
      <c r="E8" s="25">
        <f>57/12</f>
        <v>4.75</v>
      </c>
      <c r="F8" s="12">
        <f>104/12</f>
        <v>8.6666666666666661</v>
      </c>
      <c r="G8" s="165">
        <v>54.8</v>
      </c>
      <c r="H8" s="25">
        <f>1/12</f>
        <v>8.3333333333333329E-2</v>
      </c>
      <c r="I8" s="12">
        <v>0.1</v>
      </c>
      <c r="J8" s="218">
        <v>100</v>
      </c>
      <c r="K8" s="25">
        <f>26/12</f>
        <v>2.1666666666666665</v>
      </c>
      <c r="L8" s="12">
        <f>50/12</f>
        <v>4.166666666666667</v>
      </c>
      <c r="M8" s="216">
        <v>52</v>
      </c>
      <c r="N8" s="47">
        <v>7.2</v>
      </c>
      <c r="O8" s="15">
        <v>4.7</v>
      </c>
      <c r="P8" s="33">
        <v>11.8</v>
      </c>
      <c r="Q8" s="286">
        <v>1.3</v>
      </c>
      <c r="R8" s="363">
        <v>0.2</v>
      </c>
      <c r="S8" s="47">
        <v>1.8</v>
      </c>
      <c r="T8" s="51">
        <v>0.8</v>
      </c>
      <c r="U8" s="42">
        <v>2.1</v>
      </c>
      <c r="V8" s="99" t="s">
        <v>28</v>
      </c>
      <c r="W8" s="286" t="s">
        <v>492</v>
      </c>
      <c r="X8" s="273">
        <v>18.8</v>
      </c>
    </row>
    <row r="9" spans="1:24" ht="18.75" customHeight="1">
      <c r="A9" s="94" t="s">
        <v>493</v>
      </c>
      <c r="B9" s="52" t="s">
        <v>33</v>
      </c>
      <c r="C9" s="57">
        <v>13</v>
      </c>
      <c r="D9" s="210">
        <v>12.2</v>
      </c>
      <c r="E9" s="26">
        <f>60/13</f>
        <v>4.615384615384615</v>
      </c>
      <c r="F9" s="6">
        <f>104/13</f>
        <v>8</v>
      </c>
      <c r="G9" s="167">
        <v>57.7</v>
      </c>
      <c r="H9" s="26">
        <f>9/13</f>
        <v>0.69230769230769229</v>
      </c>
      <c r="I9" s="6">
        <f>28/13</f>
        <v>2.1538461538461537</v>
      </c>
      <c r="J9" s="167">
        <v>32.1</v>
      </c>
      <c r="K9" s="26">
        <f>12/13</f>
        <v>0.92307692307692313</v>
      </c>
      <c r="L9" s="6">
        <f>18/13</f>
        <v>1.3846153846153846</v>
      </c>
      <c r="M9" s="167">
        <v>66.7</v>
      </c>
      <c r="N9" s="49">
        <v>5.6</v>
      </c>
      <c r="O9" s="7">
        <v>2.9</v>
      </c>
      <c r="P9" s="27">
        <v>8.5</v>
      </c>
      <c r="Q9" s="287">
        <v>0.7</v>
      </c>
      <c r="R9" s="250">
        <v>1.4</v>
      </c>
      <c r="S9" s="26">
        <v>1.5</v>
      </c>
      <c r="T9" s="52">
        <v>0.6</v>
      </c>
      <c r="U9" s="43">
        <v>2.6</v>
      </c>
      <c r="V9" s="100" t="s">
        <v>28</v>
      </c>
      <c r="W9" s="287" t="s">
        <v>466</v>
      </c>
      <c r="X9" s="272">
        <v>16</v>
      </c>
    </row>
    <row r="10" spans="1:24" ht="18.75" customHeight="1">
      <c r="A10" s="127" t="s">
        <v>494</v>
      </c>
      <c r="B10" s="51" t="s">
        <v>33</v>
      </c>
      <c r="C10" s="56">
        <v>20</v>
      </c>
      <c r="D10" s="211">
        <v>20.100000000000001</v>
      </c>
      <c r="E10" s="25">
        <f>101/20</f>
        <v>5.05</v>
      </c>
      <c r="F10" s="12">
        <f>206/20</f>
        <v>10.3</v>
      </c>
      <c r="G10" s="216">
        <v>49</v>
      </c>
      <c r="H10" s="25">
        <f>24/20</f>
        <v>1.2</v>
      </c>
      <c r="I10" s="12">
        <f>75/20</f>
        <v>3.75</v>
      </c>
      <c r="J10" s="216">
        <v>32</v>
      </c>
      <c r="K10" s="385">
        <f>127/20</f>
        <v>6.35</v>
      </c>
      <c r="L10" s="12">
        <f>147/20</f>
        <v>7.35</v>
      </c>
      <c r="M10" s="374">
        <v>86.4</v>
      </c>
      <c r="N10" s="47">
        <v>2.2999999999999998</v>
      </c>
      <c r="O10" s="12">
        <v>0.7</v>
      </c>
      <c r="P10" s="33">
        <v>3</v>
      </c>
      <c r="Q10" s="288">
        <v>2.2999999999999998</v>
      </c>
      <c r="R10" s="56">
        <v>0.1</v>
      </c>
      <c r="S10" s="47">
        <v>2.9</v>
      </c>
      <c r="T10" s="51">
        <v>1.1000000000000001</v>
      </c>
      <c r="U10" s="29">
        <v>1.8</v>
      </c>
      <c r="V10" s="99" t="s">
        <v>28</v>
      </c>
      <c r="W10" s="286" t="s">
        <v>208</v>
      </c>
      <c r="X10" s="213">
        <v>16.899999999999999</v>
      </c>
    </row>
    <row r="11" spans="1:24" ht="18.75" customHeight="1">
      <c r="A11" s="94" t="s">
        <v>495</v>
      </c>
      <c r="B11" s="52" t="s">
        <v>33</v>
      </c>
      <c r="C11" s="57">
        <v>16</v>
      </c>
      <c r="D11" s="351">
        <v>16.8</v>
      </c>
      <c r="E11" s="26">
        <f>17/16</f>
        <v>1.0625</v>
      </c>
      <c r="F11" s="6">
        <f>39/16</f>
        <v>2.4375</v>
      </c>
      <c r="G11" s="166">
        <v>43.6</v>
      </c>
      <c r="H11" s="26">
        <f>61/16</f>
        <v>3.8125</v>
      </c>
      <c r="I11" s="6">
        <f>139/16</f>
        <v>8.6875</v>
      </c>
      <c r="J11" s="167">
        <v>36.1</v>
      </c>
      <c r="K11" s="26">
        <f>51/16</f>
        <v>3.1875</v>
      </c>
      <c r="L11" s="6">
        <f>62/16</f>
        <v>3.875</v>
      </c>
      <c r="M11" s="167">
        <v>82.3</v>
      </c>
      <c r="N11" s="26">
        <v>2.9</v>
      </c>
      <c r="O11" s="7">
        <v>0.8</v>
      </c>
      <c r="P11" s="27">
        <v>3.8</v>
      </c>
      <c r="Q11" s="287">
        <v>2.1</v>
      </c>
      <c r="R11" s="250">
        <v>0.1</v>
      </c>
      <c r="S11" s="49">
        <v>1.6</v>
      </c>
      <c r="T11" s="50">
        <v>1.1000000000000001</v>
      </c>
      <c r="U11" s="43">
        <v>1.4</v>
      </c>
      <c r="V11" s="100" t="s">
        <v>28</v>
      </c>
      <c r="W11" s="287" t="s">
        <v>492</v>
      </c>
      <c r="X11" s="272">
        <v>14.3</v>
      </c>
    </row>
    <row r="12" spans="1:24" ht="18.75" customHeight="1">
      <c r="A12" s="127" t="s">
        <v>496</v>
      </c>
      <c r="B12" s="51" t="s">
        <v>33</v>
      </c>
      <c r="C12" s="56">
        <v>4</v>
      </c>
      <c r="D12" s="211">
        <v>7</v>
      </c>
      <c r="E12" s="25">
        <f>13/4</f>
        <v>3.25</v>
      </c>
      <c r="F12" s="12">
        <f>27/4</f>
        <v>6.75</v>
      </c>
      <c r="G12" s="216">
        <v>48.1</v>
      </c>
      <c r="H12" s="31">
        <v>0</v>
      </c>
      <c r="I12" s="12">
        <v>0.3</v>
      </c>
      <c r="J12" s="218">
        <v>0</v>
      </c>
      <c r="K12" s="25">
        <v>0.5</v>
      </c>
      <c r="L12" s="12">
        <v>0.5</v>
      </c>
      <c r="M12" s="216">
        <v>50</v>
      </c>
      <c r="N12" s="25">
        <v>2.5</v>
      </c>
      <c r="O12" s="12">
        <v>2.2999999999999998</v>
      </c>
      <c r="P12" s="33">
        <v>4.8</v>
      </c>
      <c r="Q12" s="288">
        <v>3</v>
      </c>
      <c r="R12" s="249">
        <v>0.3</v>
      </c>
      <c r="S12" s="47">
        <v>1.3</v>
      </c>
      <c r="T12" s="51">
        <v>1.3</v>
      </c>
      <c r="U12" s="29">
        <v>1</v>
      </c>
      <c r="V12" s="99" t="s">
        <v>28</v>
      </c>
      <c r="W12" s="286" t="s">
        <v>497</v>
      </c>
      <c r="X12" s="213">
        <v>10.8</v>
      </c>
    </row>
    <row r="13" spans="1:24" ht="18.75" customHeight="1">
      <c r="A13" s="94" t="s">
        <v>498</v>
      </c>
      <c r="B13" s="52" t="s">
        <v>27</v>
      </c>
      <c r="C13" s="57">
        <v>6</v>
      </c>
      <c r="D13" s="210">
        <v>8.6</v>
      </c>
      <c r="E13" s="26">
        <f>11/6</f>
        <v>1.8333333333333333</v>
      </c>
      <c r="F13" s="6">
        <f>17/6</f>
        <v>2.8333333333333335</v>
      </c>
      <c r="G13" s="167">
        <v>64.7</v>
      </c>
      <c r="H13" s="26">
        <f>4/6</f>
        <v>0.66666666666666663</v>
      </c>
      <c r="I13" s="6">
        <f>14/6</f>
        <v>2.3333333333333335</v>
      </c>
      <c r="J13" s="167">
        <v>28.6</v>
      </c>
      <c r="K13" s="26">
        <f>9/6</f>
        <v>1.5</v>
      </c>
      <c r="L13" s="6">
        <f>17/6</f>
        <v>2.8333333333333335</v>
      </c>
      <c r="M13" s="167">
        <v>52.9</v>
      </c>
      <c r="N13" s="26">
        <v>2.2000000000000002</v>
      </c>
      <c r="O13" s="6">
        <v>0.6</v>
      </c>
      <c r="P13" s="27">
        <v>2.8</v>
      </c>
      <c r="Q13" s="285">
        <v>3.8</v>
      </c>
      <c r="R13" s="373">
        <v>0</v>
      </c>
      <c r="S13" s="26">
        <v>2</v>
      </c>
      <c r="T13" s="52">
        <v>0.8</v>
      </c>
      <c r="U13" s="30">
        <v>2.8</v>
      </c>
      <c r="V13" s="100" t="s">
        <v>28</v>
      </c>
      <c r="W13" s="287" t="s">
        <v>216</v>
      </c>
      <c r="X13" s="214">
        <v>9.1999999999999993</v>
      </c>
    </row>
    <row r="14" spans="1:24" ht="18.75" customHeight="1">
      <c r="A14" s="127" t="s">
        <v>499</v>
      </c>
      <c r="B14" s="51" t="s">
        <v>27</v>
      </c>
      <c r="C14" s="56">
        <v>12</v>
      </c>
      <c r="D14" s="211">
        <v>7.8</v>
      </c>
      <c r="E14" s="25">
        <f>25/12</f>
        <v>2.0833333333333335</v>
      </c>
      <c r="F14" s="12">
        <f>47/12</f>
        <v>3.9166666666666665</v>
      </c>
      <c r="G14" s="165">
        <v>53.2</v>
      </c>
      <c r="H14" s="25">
        <f>9/12</f>
        <v>0.75</v>
      </c>
      <c r="I14" s="12">
        <f>31/12</f>
        <v>2.5833333333333335</v>
      </c>
      <c r="J14" s="216">
        <v>29</v>
      </c>
      <c r="K14" s="25">
        <f>17/12</f>
        <v>1.4166666666666667</v>
      </c>
      <c r="L14" s="12">
        <f>28/12</f>
        <v>2.3333333333333335</v>
      </c>
      <c r="M14" s="216">
        <v>60.7</v>
      </c>
      <c r="N14" s="25">
        <v>2.1</v>
      </c>
      <c r="O14" s="11">
        <v>0.4</v>
      </c>
      <c r="P14" s="33">
        <v>2.5</v>
      </c>
      <c r="Q14" s="286">
        <v>2.8</v>
      </c>
      <c r="R14" s="249">
        <v>0.2</v>
      </c>
      <c r="S14" s="47">
        <v>1.7</v>
      </c>
      <c r="T14" s="51">
        <v>1.3</v>
      </c>
      <c r="U14" s="42">
        <v>2.2999999999999998</v>
      </c>
      <c r="V14" s="99" t="s">
        <v>28</v>
      </c>
      <c r="W14" s="286" t="s">
        <v>500</v>
      </c>
      <c r="X14" s="273">
        <v>7.8</v>
      </c>
    </row>
    <row r="15" spans="1:24" ht="18.75" customHeight="1">
      <c r="A15" s="94" t="s">
        <v>501</v>
      </c>
      <c r="B15" s="52" t="s">
        <v>27</v>
      </c>
      <c r="C15" s="57">
        <v>22</v>
      </c>
      <c r="D15" s="351">
        <v>9.1</v>
      </c>
      <c r="E15" s="26">
        <f>40/22</f>
        <v>1.8181818181818181</v>
      </c>
      <c r="F15" s="6">
        <f>74/22</f>
        <v>3.3636363636363638</v>
      </c>
      <c r="G15" s="167">
        <v>54.1</v>
      </c>
      <c r="H15" s="26">
        <f>33/22</f>
        <v>1.5</v>
      </c>
      <c r="I15" s="6">
        <f>112/22</f>
        <v>5.0909090909090908</v>
      </c>
      <c r="J15" s="167">
        <v>29.5</v>
      </c>
      <c r="K15" s="26">
        <f>21/22</f>
        <v>0.95454545454545459</v>
      </c>
      <c r="L15" s="6">
        <f>35/22</f>
        <v>1.5909090909090908</v>
      </c>
      <c r="M15" s="167">
        <v>60</v>
      </c>
      <c r="N15" s="26">
        <v>2</v>
      </c>
      <c r="O15" s="7">
        <v>0.9</v>
      </c>
      <c r="P15" s="27">
        <v>2.9</v>
      </c>
      <c r="Q15" s="287">
        <v>1.3</v>
      </c>
      <c r="R15" s="57">
        <v>0</v>
      </c>
      <c r="S15" s="26">
        <v>1.5</v>
      </c>
      <c r="T15" s="50">
        <v>0.9</v>
      </c>
      <c r="U15" s="30">
        <v>2.9</v>
      </c>
      <c r="V15" s="100" t="s">
        <v>28</v>
      </c>
      <c r="W15" s="287" t="s">
        <v>365</v>
      </c>
      <c r="X15" s="272">
        <v>5.8</v>
      </c>
    </row>
    <row r="16" spans="1:24" ht="18.75" customHeight="1">
      <c r="A16" s="127" t="s">
        <v>502</v>
      </c>
      <c r="B16" s="51" t="s">
        <v>27</v>
      </c>
      <c r="C16" s="56">
        <v>6</v>
      </c>
      <c r="D16" s="211">
        <v>5.7</v>
      </c>
      <c r="E16" s="25">
        <v>2</v>
      </c>
      <c r="F16" s="12">
        <v>4</v>
      </c>
      <c r="G16" s="216">
        <v>50</v>
      </c>
      <c r="H16" s="25">
        <f>1/6</f>
        <v>0.16666666666666666</v>
      </c>
      <c r="I16" s="12">
        <f>12/6</f>
        <v>2</v>
      </c>
      <c r="J16" s="216">
        <v>8.3000000000000007</v>
      </c>
      <c r="K16" s="25">
        <f>7/6</f>
        <v>1.1666666666666667</v>
      </c>
      <c r="L16" s="12">
        <f>9/6</f>
        <v>1.5</v>
      </c>
      <c r="M16" s="216">
        <v>77.8</v>
      </c>
      <c r="N16" s="25">
        <v>1.7</v>
      </c>
      <c r="O16" s="11">
        <v>1.5</v>
      </c>
      <c r="P16" s="33">
        <v>3.2</v>
      </c>
      <c r="Q16" s="286">
        <v>0.7</v>
      </c>
      <c r="R16" s="284">
        <v>0</v>
      </c>
      <c r="S16" s="25">
        <v>1</v>
      </c>
      <c r="T16" s="51">
        <v>0.3</v>
      </c>
      <c r="U16" s="42">
        <v>2.2000000000000002</v>
      </c>
      <c r="V16" s="99" t="s">
        <v>28</v>
      </c>
      <c r="W16" s="286" t="s">
        <v>503</v>
      </c>
      <c r="X16" s="273">
        <v>3.8</v>
      </c>
    </row>
    <row r="17" spans="1:35" ht="18.75" customHeight="1">
      <c r="A17" s="94" t="s">
        <v>504</v>
      </c>
      <c r="B17" s="52" t="s">
        <v>27</v>
      </c>
      <c r="C17" s="57">
        <v>8</v>
      </c>
      <c r="D17" s="351">
        <v>7.5</v>
      </c>
      <c r="E17" s="26">
        <f>21/8</f>
        <v>2.625</v>
      </c>
      <c r="F17" s="6">
        <f>45/8</f>
        <v>5.625</v>
      </c>
      <c r="G17" s="166">
        <v>46.7</v>
      </c>
      <c r="H17" s="26">
        <f>4/8</f>
        <v>0.5</v>
      </c>
      <c r="I17" s="6">
        <f>31/8</f>
        <v>3.875</v>
      </c>
      <c r="J17" s="167">
        <v>12.9</v>
      </c>
      <c r="K17" s="26">
        <f>6/8</f>
        <v>0.75</v>
      </c>
      <c r="L17" s="6">
        <f>7/8</f>
        <v>0.875</v>
      </c>
      <c r="M17" s="167">
        <v>85.7</v>
      </c>
      <c r="N17" s="26">
        <v>2.4</v>
      </c>
      <c r="O17" s="7">
        <v>0.3</v>
      </c>
      <c r="P17" s="27">
        <v>2.6</v>
      </c>
      <c r="Q17" s="285">
        <v>3</v>
      </c>
      <c r="R17" s="373">
        <v>0</v>
      </c>
      <c r="S17" s="49">
        <v>3.6</v>
      </c>
      <c r="T17" s="52">
        <v>0.9</v>
      </c>
      <c r="U17" s="30">
        <v>2</v>
      </c>
      <c r="V17" s="100" t="s">
        <v>28</v>
      </c>
      <c r="W17" s="287" t="s">
        <v>137</v>
      </c>
      <c r="X17" s="272">
        <v>3</v>
      </c>
    </row>
    <row r="18" spans="1:35" ht="18.75" customHeight="1">
      <c r="A18" s="127" t="s">
        <v>505</v>
      </c>
      <c r="B18" s="51" t="s">
        <v>27</v>
      </c>
      <c r="C18" s="56">
        <v>22</v>
      </c>
      <c r="D18" s="209">
        <v>3.4</v>
      </c>
      <c r="E18" s="25">
        <v>1</v>
      </c>
      <c r="F18" s="12">
        <f>54/22</f>
        <v>2.4545454545454546</v>
      </c>
      <c r="G18" s="216">
        <v>40.700000000000003</v>
      </c>
      <c r="H18" s="25">
        <f>6/22</f>
        <v>0.27272727272727271</v>
      </c>
      <c r="I18" s="12">
        <f>32/22</f>
        <v>1.4545454545454546</v>
      </c>
      <c r="J18" s="216">
        <v>18.8</v>
      </c>
      <c r="K18" s="25">
        <f>12/22</f>
        <v>0.54545454545454541</v>
      </c>
      <c r="L18" s="12">
        <f>20/22</f>
        <v>0.90909090909090906</v>
      </c>
      <c r="M18" s="216">
        <v>60</v>
      </c>
      <c r="N18" s="25">
        <v>1.4</v>
      </c>
      <c r="O18" s="11">
        <v>0.6</v>
      </c>
      <c r="P18" s="33">
        <v>2</v>
      </c>
      <c r="Q18" s="286">
        <v>0.5</v>
      </c>
      <c r="R18" s="363">
        <v>0.1</v>
      </c>
      <c r="S18" s="25">
        <v>0.8</v>
      </c>
      <c r="T18" s="51">
        <v>0.6</v>
      </c>
      <c r="U18" s="29">
        <v>1.7</v>
      </c>
      <c r="V18" s="99" t="s">
        <v>28</v>
      </c>
      <c r="W18" s="286" t="s">
        <v>263</v>
      </c>
      <c r="X18" s="213">
        <v>1.5</v>
      </c>
    </row>
    <row r="19" spans="1:35" ht="18.75" customHeight="1">
      <c r="A19" s="94" t="s">
        <v>506</v>
      </c>
      <c r="B19" s="52" t="s">
        <v>27</v>
      </c>
      <c r="C19" s="57">
        <v>18</v>
      </c>
      <c r="D19" s="210">
        <v>1.2</v>
      </c>
      <c r="E19" s="26">
        <f>8/18</f>
        <v>0.44444444444444442</v>
      </c>
      <c r="F19" s="6">
        <f>19/18</f>
        <v>1.0555555555555556</v>
      </c>
      <c r="G19" s="167">
        <v>42.1</v>
      </c>
      <c r="H19" s="32">
        <v>0</v>
      </c>
      <c r="I19" s="6">
        <f>5/18</f>
        <v>0.27777777777777779</v>
      </c>
      <c r="J19" s="217">
        <v>0</v>
      </c>
      <c r="K19" s="26">
        <f>6/18</f>
        <v>0.33333333333333331</v>
      </c>
      <c r="L19" s="6">
        <f>8/18</f>
        <v>0.44444444444444442</v>
      </c>
      <c r="M19" s="167">
        <v>75</v>
      </c>
      <c r="N19" s="49">
        <v>0.6</v>
      </c>
      <c r="O19" s="6">
        <v>0.4</v>
      </c>
      <c r="P19" s="27">
        <v>1</v>
      </c>
      <c r="Q19" s="285">
        <v>0.8</v>
      </c>
      <c r="R19" s="97">
        <v>0</v>
      </c>
      <c r="S19" s="26">
        <v>1</v>
      </c>
      <c r="T19" s="50">
        <v>0.3</v>
      </c>
      <c r="U19" s="30">
        <v>1</v>
      </c>
      <c r="V19" s="100" t="s">
        <v>28</v>
      </c>
      <c r="W19" s="287" t="s">
        <v>507</v>
      </c>
      <c r="X19" s="214">
        <v>1.2</v>
      </c>
    </row>
    <row r="20" spans="1:35" ht="18.75" customHeight="1">
      <c r="A20" s="127" t="s">
        <v>508</v>
      </c>
      <c r="B20" s="51" t="s">
        <v>27</v>
      </c>
      <c r="C20" s="56">
        <v>16</v>
      </c>
      <c r="D20" s="211">
        <v>2.6</v>
      </c>
      <c r="E20" s="25">
        <v>1</v>
      </c>
      <c r="F20" s="12">
        <f>35/16</f>
        <v>2.1875</v>
      </c>
      <c r="G20" s="165">
        <v>45.7</v>
      </c>
      <c r="H20" s="25">
        <f>2/16</f>
        <v>0.125</v>
      </c>
      <c r="I20" s="12">
        <f>17/16</f>
        <v>1.0625</v>
      </c>
      <c r="J20" s="216">
        <v>11.8</v>
      </c>
      <c r="K20" s="25">
        <f>4/16</f>
        <v>0.25</v>
      </c>
      <c r="L20" s="12">
        <f>13/16</f>
        <v>0.8125</v>
      </c>
      <c r="M20" s="216">
        <v>30.8</v>
      </c>
      <c r="N20" s="25">
        <v>1</v>
      </c>
      <c r="O20" s="11">
        <v>0.5</v>
      </c>
      <c r="P20" s="33">
        <v>1.5</v>
      </c>
      <c r="Q20" s="286">
        <v>0.4</v>
      </c>
      <c r="R20" s="284">
        <v>0</v>
      </c>
      <c r="S20" s="47">
        <v>0.8</v>
      </c>
      <c r="T20" s="51">
        <v>0.9</v>
      </c>
      <c r="U20" s="42">
        <v>1.6</v>
      </c>
      <c r="V20" s="99" t="s">
        <v>28</v>
      </c>
      <c r="W20" s="286" t="s">
        <v>480</v>
      </c>
      <c r="X20" s="273">
        <v>0.9</v>
      </c>
    </row>
    <row r="21" spans="1:35" ht="18.75" customHeight="1">
      <c r="A21" s="94" t="s">
        <v>509</v>
      </c>
      <c r="B21" s="52" t="s">
        <v>27</v>
      </c>
      <c r="C21" s="57">
        <v>22</v>
      </c>
      <c r="D21" s="351">
        <v>2.6</v>
      </c>
      <c r="E21" s="26">
        <f>28/22</f>
        <v>1.2727272727272727</v>
      </c>
      <c r="F21" s="6">
        <f>73/22</f>
        <v>3.3181818181818183</v>
      </c>
      <c r="G21" s="167">
        <v>38.4</v>
      </c>
      <c r="H21" s="26">
        <v>0</v>
      </c>
      <c r="I21" s="6">
        <v>0.1</v>
      </c>
      <c r="J21" s="167">
        <v>0</v>
      </c>
      <c r="K21" s="26">
        <f>2/22</f>
        <v>9.0909090909090912E-2</v>
      </c>
      <c r="L21" s="6">
        <f>12/22</f>
        <v>0.54545454545454541</v>
      </c>
      <c r="M21" s="167">
        <v>16.7</v>
      </c>
      <c r="N21" s="26">
        <v>1.7</v>
      </c>
      <c r="O21" s="6">
        <v>0.8</v>
      </c>
      <c r="P21" s="27">
        <v>2.5</v>
      </c>
      <c r="Q21" s="381">
        <v>0.1</v>
      </c>
      <c r="R21" s="57">
        <v>0.4</v>
      </c>
      <c r="S21" s="26">
        <v>0.9</v>
      </c>
      <c r="T21" s="52">
        <v>0.1</v>
      </c>
      <c r="U21" s="43">
        <v>2.2999999999999998</v>
      </c>
      <c r="V21" s="100" t="s">
        <v>28</v>
      </c>
      <c r="W21" s="287" t="s">
        <v>261</v>
      </c>
      <c r="X21" s="272">
        <v>0.5</v>
      </c>
    </row>
    <row r="22" spans="1:35" ht="18.75" customHeight="1">
      <c r="A22" s="127" t="s">
        <v>510</v>
      </c>
      <c r="B22" s="51" t="s">
        <v>27</v>
      </c>
      <c r="C22" s="56">
        <v>12</v>
      </c>
      <c r="D22" s="211">
        <v>1.8</v>
      </c>
      <c r="E22" s="25">
        <f>4/12</f>
        <v>0.33333333333333331</v>
      </c>
      <c r="F22" s="12">
        <f>11/12</f>
        <v>0.91666666666666663</v>
      </c>
      <c r="G22" s="216">
        <v>36.4</v>
      </c>
      <c r="H22" s="25">
        <f>4/12</f>
        <v>0.33333333333333331</v>
      </c>
      <c r="I22" s="12">
        <f>19/12</f>
        <v>1.5833333333333333</v>
      </c>
      <c r="J22" s="216">
        <v>21.1</v>
      </c>
      <c r="K22" s="25">
        <v>0.16666666666666666</v>
      </c>
      <c r="L22" s="12">
        <f>3/12</f>
        <v>0.25</v>
      </c>
      <c r="M22" s="216">
        <v>66.7</v>
      </c>
      <c r="N22" s="25">
        <v>1.2</v>
      </c>
      <c r="O22" s="15">
        <v>0.6</v>
      </c>
      <c r="P22" s="33">
        <v>1.8</v>
      </c>
      <c r="Q22" s="288">
        <v>0.3</v>
      </c>
      <c r="R22" s="249">
        <v>0.2</v>
      </c>
      <c r="S22" s="25">
        <v>0.7</v>
      </c>
      <c r="T22" s="48">
        <v>0</v>
      </c>
      <c r="U22" s="29">
        <v>1.3</v>
      </c>
      <c r="V22" s="99" t="s">
        <v>28</v>
      </c>
      <c r="W22" s="286" t="s">
        <v>261</v>
      </c>
      <c r="X22" s="273">
        <v>0.4</v>
      </c>
    </row>
    <row r="23" spans="1:35" ht="18.75" customHeight="1">
      <c r="A23" s="94" t="s">
        <v>288</v>
      </c>
      <c r="B23" s="52" t="s">
        <v>162</v>
      </c>
      <c r="C23" s="57">
        <v>10</v>
      </c>
      <c r="D23" s="351">
        <v>0.9</v>
      </c>
      <c r="E23" s="26">
        <v>0.3</v>
      </c>
      <c r="F23" s="6">
        <v>0.8</v>
      </c>
      <c r="G23" s="166">
        <v>37.5</v>
      </c>
      <c r="H23" s="32">
        <v>0</v>
      </c>
      <c r="I23" s="6">
        <v>0.4</v>
      </c>
      <c r="J23" s="217">
        <v>0</v>
      </c>
      <c r="K23" s="26">
        <v>0.3</v>
      </c>
      <c r="L23" s="6">
        <v>0.4</v>
      </c>
      <c r="M23" s="167">
        <v>75</v>
      </c>
      <c r="N23" s="26">
        <v>0.3</v>
      </c>
      <c r="O23" s="7">
        <v>0</v>
      </c>
      <c r="P23" s="27">
        <v>0.3</v>
      </c>
      <c r="Q23" s="287">
        <v>0.3</v>
      </c>
      <c r="R23" s="373">
        <v>0</v>
      </c>
      <c r="S23" s="49">
        <v>0.4</v>
      </c>
      <c r="T23" s="52">
        <v>0.4</v>
      </c>
      <c r="U23" s="43">
        <v>0.6</v>
      </c>
      <c r="V23" s="100" t="s">
        <v>28</v>
      </c>
      <c r="W23" s="287" t="s">
        <v>511</v>
      </c>
      <c r="X23" s="272">
        <v>0.1</v>
      </c>
    </row>
    <row r="24" spans="1:35" ht="18.75" customHeight="1">
      <c r="A24" s="127" t="s">
        <v>512</v>
      </c>
      <c r="B24" s="51" t="s">
        <v>33</v>
      </c>
      <c r="C24" s="56">
        <v>1</v>
      </c>
      <c r="D24" s="211">
        <v>6</v>
      </c>
      <c r="E24" s="25">
        <v>3</v>
      </c>
      <c r="F24" s="12">
        <v>5</v>
      </c>
      <c r="G24" s="216">
        <v>60</v>
      </c>
      <c r="H24" s="31">
        <v>0</v>
      </c>
      <c r="I24" s="12">
        <v>3</v>
      </c>
      <c r="J24" s="218">
        <v>0</v>
      </c>
      <c r="K24" s="31">
        <v>0</v>
      </c>
      <c r="L24" s="14">
        <v>0</v>
      </c>
      <c r="M24" s="218">
        <v>0</v>
      </c>
      <c r="N24" s="25">
        <v>1</v>
      </c>
      <c r="O24" s="14">
        <v>0</v>
      </c>
      <c r="P24" s="33">
        <v>1</v>
      </c>
      <c r="Q24" s="375">
        <v>0</v>
      </c>
      <c r="R24" s="249">
        <v>1</v>
      </c>
      <c r="S24" s="25">
        <v>4</v>
      </c>
      <c r="T24" s="51">
        <v>0</v>
      </c>
      <c r="U24" s="29">
        <v>1</v>
      </c>
      <c r="V24" s="99" t="s">
        <v>28</v>
      </c>
      <c r="W24" s="286" t="s">
        <v>513</v>
      </c>
      <c r="X24" s="213">
        <v>0</v>
      </c>
    </row>
    <row r="25" spans="1:35" ht="18.75" customHeight="1">
      <c r="A25" s="94" t="s">
        <v>514</v>
      </c>
      <c r="B25" s="52" t="s">
        <v>27</v>
      </c>
      <c r="C25" s="57">
        <v>15</v>
      </c>
      <c r="D25" s="210">
        <v>1.1000000000000001</v>
      </c>
      <c r="E25" s="26">
        <f>5/15</f>
        <v>0.33333333333333331</v>
      </c>
      <c r="F25" s="6">
        <f>18/15</f>
        <v>1.2</v>
      </c>
      <c r="G25" s="166">
        <v>27.8</v>
      </c>
      <c r="H25" s="32">
        <v>0</v>
      </c>
      <c r="I25" s="8">
        <v>0</v>
      </c>
      <c r="J25" s="217">
        <v>0</v>
      </c>
      <c r="K25" s="26">
        <f>6/15</f>
        <v>0.4</v>
      </c>
      <c r="L25" s="6">
        <f>12/15</f>
        <v>0.8</v>
      </c>
      <c r="M25" s="167">
        <v>50</v>
      </c>
      <c r="N25" s="49">
        <v>0.9</v>
      </c>
      <c r="O25" s="6">
        <v>0.3</v>
      </c>
      <c r="P25" s="27">
        <v>1.3</v>
      </c>
      <c r="Q25" s="285">
        <v>0.1</v>
      </c>
      <c r="R25" s="57">
        <v>0.3</v>
      </c>
      <c r="S25" s="49">
        <v>0.6</v>
      </c>
      <c r="T25" s="383">
        <v>0</v>
      </c>
      <c r="U25" s="43">
        <v>2.1</v>
      </c>
      <c r="V25" s="100" t="s">
        <v>28</v>
      </c>
      <c r="W25" s="287" t="s">
        <v>380</v>
      </c>
      <c r="X25" s="384">
        <v>0</v>
      </c>
    </row>
    <row r="26" spans="1:35" s="2" customFormat="1" ht="18.75" customHeight="1">
      <c r="A26" s="543" t="s">
        <v>515</v>
      </c>
      <c r="B26" s="544"/>
      <c r="C26" s="317">
        <v>25</v>
      </c>
      <c r="D26" s="356">
        <v>72.3</v>
      </c>
      <c r="E26" s="318">
        <f>466/25</f>
        <v>18.64</v>
      </c>
      <c r="F26" s="247">
        <f>949/25</f>
        <v>37.96</v>
      </c>
      <c r="G26" s="248">
        <v>49.1</v>
      </c>
      <c r="H26" s="318">
        <f>161/25</f>
        <v>6.44</v>
      </c>
      <c r="I26" s="247">
        <f>565/25</f>
        <v>22.6</v>
      </c>
      <c r="J26" s="248">
        <v>28.5</v>
      </c>
      <c r="K26" s="38">
        <f>321/25</f>
        <v>12.84</v>
      </c>
      <c r="L26" s="39">
        <f>459/25</f>
        <v>18.36</v>
      </c>
      <c r="M26" s="138">
        <v>69.900000000000006</v>
      </c>
      <c r="N26" s="53">
        <v>21.6</v>
      </c>
      <c r="O26" s="139">
        <v>10</v>
      </c>
      <c r="P26" s="148">
        <v>31.7</v>
      </c>
      <c r="Q26" s="289">
        <v>11.2</v>
      </c>
      <c r="R26" s="251">
        <v>1.9</v>
      </c>
      <c r="S26" s="38">
        <v>13.9</v>
      </c>
      <c r="T26" s="54">
        <v>6.4</v>
      </c>
      <c r="U26" s="137">
        <v>19</v>
      </c>
      <c r="V26" s="290"/>
      <c r="W26" s="291"/>
      <c r="X26" s="252">
        <v>61.8</v>
      </c>
      <c r="Y26"/>
      <c r="Z26"/>
    </row>
    <row r="27" spans="1:35" s="2" customFormat="1" ht="18.75" customHeight="1">
      <c r="A27" s="493" t="s">
        <v>62</v>
      </c>
      <c r="B27" s="519"/>
      <c r="C27" s="337">
        <v>25</v>
      </c>
      <c r="D27" s="355">
        <v>83.3</v>
      </c>
      <c r="E27" s="521"/>
      <c r="F27" s="495"/>
      <c r="G27" s="341">
        <v>57.4</v>
      </c>
      <c r="H27" s="523"/>
      <c r="I27" s="496"/>
      <c r="J27" s="364">
        <v>32.799999999999997</v>
      </c>
      <c r="K27" s="442"/>
      <c r="L27" s="443"/>
      <c r="M27" s="443"/>
      <c r="N27" s="443"/>
      <c r="O27" s="443"/>
      <c r="P27" s="443"/>
      <c r="Q27" s="443"/>
      <c r="R27" s="496"/>
      <c r="S27" s="443"/>
      <c r="T27" s="443"/>
      <c r="U27" s="443"/>
      <c r="V27" s="443"/>
      <c r="W27" s="443"/>
      <c r="X27" s="497"/>
      <c r="Y27"/>
      <c r="Z27"/>
    </row>
    <row r="28" spans="1:35" s="2" customFormat="1" ht="18.75" customHeight="1">
      <c r="A28" s="456" t="s">
        <v>516</v>
      </c>
      <c r="B28" s="456"/>
      <c r="C28" s="456"/>
      <c r="D28" s="456"/>
      <c r="E28" s="456"/>
      <c r="F28" s="456"/>
      <c r="G28" s="456"/>
      <c r="H28" s="456"/>
      <c r="I28" s="456"/>
      <c r="J28" s="456"/>
      <c r="K28" s="456"/>
      <c r="L28" s="456"/>
      <c r="M28" s="456"/>
      <c r="N28" s="456"/>
      <c r="O28" s="456"/>
      <c r="P28" s="456"/>
      <c r="Q28" s="456"/>
      <c r="R28" s="456"/>
      <c r="S28" s="456"/>
      <c r="T28" s="456"/>
      <c r="U28" s="456"/>
      <c r="V28" s="456"/>
      <c r="W28" s="456"/>
      <c r="X28" s="456"/>
      <c r="Y28"/>
      <c r="Z28"/>
    </row>
    <row r="29" spans="1:35" s="2" customFormat="1" ht="18.75" customHeight="1">
      <c r="A29" s="453" t="s">
        <v>517</v>
      </c>
      <c r="B29" s="453"/>
      <c r="C29" s="453"/>
      <c r="D29" s="453"/>
      <c r="E29" s="453"/>
      <c r="F29" s="453"/>
      <c r="G29" s="453"/>
      <c r="H29" s="453"/>
      <c r="I29" s="453"/>
      <c r="J29" s="453"/>
      <c r="K29" s="453"/>
      <c r="L29" s="453"/>
      <c r="M29" s="453"/>
      <c r="N29" s="453"/>
      <c r="O29" s="453"/>
      <c r="P29" s="453"/>
      <c r="Q29" s="453"/>
      <c r="R29" s="453"/>
      <c r="S29" s="453"/>
      <c r="T29" s="453"/>
      <c r="U29" s="453"/>
      <c r="V29" s="453"/>
      <c r="W29" s="453"/>
      <c r="X29" s="453"/>
      <c r="Y29"/>
    </row>
    <row r="30" spans="1:35" s="2" customFormat="1" ht="18.75" customHeight="1">
      <c r="A30" s="454" t="s">
        <v>65</v>
      </c>
      <c r="B30" s="454"/>
      <c r="C30" s="454"/>
      <c r="D30" s="454"/>
      <c r="E30" s="454"/>
      <c r="F30" s="454"/>
      <c r="G30" s="454"/>
      <c r="H30" s="454"/>
      <c r="I30" s="454"/>
      <c r="J30" s="454"/>
      <c r="K30" s="454"/>
      <c r="L30" s="454"/>
      <c r="M30" s="454"/>
      <c r="N30" s="454"/>
      <c r="O30" s="454"/>
      <c r="P30" s="454"/>
      <c r="Q30" s="454"/>
      <c r="R30" s="454"/>
      <c r="S30" s="454"/>
      <c r="T30" s="454"/>
      <c r="U30" s="454"/>
      <c r="V30" s="454"/>
      <c r="W30" s="454"/>
      <c r="X30" s="454"/>
      <c r="Y30"/>
      <c r="AI30" s="3"/>
    </row>
  </sheetData>
  <mergeCells count="26">
    <mergeCell ref="U5:V5"/>
    <mergeCell ref="B1:S2"/>
    <mergeCell ref="T1:X4"/>
    <mergeCell ref="B5:B6"/>
    <mergeCell ref="K5:M5"/>
    <mergeCell ref="N5:P5"/>
    <mergeCell ref="C5:C6"/>
    <mergeCell ref="H5:J5"/>
    <mergeCell ref="D5:D6"/>
    <mergeCell ref="X5:X6"/>
    <mergeCell ref="W5:W6"/>
    <mergeCell ref="A1:A4"/>
    <mergeCell ref="R5:R6"/>
    <mergeCell ref="Q5:Q6"/>
    <mergeCell ref="S5:T5"/>
    <mergeCell ref="B3:S4"/>
    <mergeCell ref="A5:A6"/>
    <mergeCell ref="E5:G5"/>
    <mergeCell ref="A26:B26"/>
    <mergeCell ref="A27:B27"/>
    <mergeCell ref="A28:X28"/>
    <mergeCell ref="A29:X29"/>
    <mergeCell ref="A30:X30"/>
    <mergeCell ref="E27:F27"/>
    <mergeCell ref="H27:I27"/>
    <mergeCell ref="K27:X27"/>
  </mergeCells>
  <pageMargins left="0.25" right="0.25" top="0.75" bottom="0.75" header="0.3" footer="0.3"/>
  <pageSetup paperSize="5" orientation="landscape" horizontalDpi="90" verticalDpi="90" r:id="rId1"/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5" tint="-0.499984740745262"/>
  </sheetPr>
  <dimension ref="A1:AI31"/>
  <sheetViews>
    <sheetView zoomScale="112" zoomScaleNormal="112" workbookViewId="0">
      <selection activeCell="B1" sqref="B1:S2"/>
    </sheetView>
  </sheetViews>
  <sheetFormatPr defaultColWidth="9.140625" defaultRowHeight="15"/>
  <cols>
    <col min="1" max="1" width="25.140625" customWidth="1"/>
    <col min="2" max="2" width="7" customWidth="1"/>
    <col min="3" max="3" width="5.7109375" style="1" customWidth="1"/>
    <col min="4" max="4" width="6.140625" style="1" customWidth="1"/>
    <col min="5" max="23" width="5.7109375" style="1" customWidth="1"/>
    <col min="24" max="24" width="6.140625" style="1" customWidth="1"/>
    <col min="25" max="255" width="11.42578125" customWidth="1"/>
  </cols>
  <sheetData>
    <row r="1" spans="1:24" ht="14.25" customHeight="1">
      <c r="A1" s="549"/>
      <c r="B1" s="421" t="s">
        <v>518</v>
      </c>
      <c r="C1" s="421"/>
      <c r="D1" s="421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1"/>
      <c r="Q1" s="421"/>
      <c r="R1" s="421"/>
      <c r="S1" s="421"/>
      <c r="T1" s="409"/>
      <c r="U1" s="409"/>
      <c r="V1" s="409"/>
      <c r="W1" s="409"/>
      <c r="X1" s="410"/>
    </row>
    <row r="2" spans="1:24" ht="14.25" customHeight="1">
      <c r="A2" s="550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11"/>
      <c r="U2" s="411"/>
      <c r="V2" s="411"/>
      <c r="W2" s="411"/>
      <c r="X2" s="412"/>
    </row>
    <row r="3" spans="1:24" ht="15" customHeight="1">
      <c r="A3" s="550"/>
      <c r="B3" s="501" t="s">
        <v>460</v>
      </c>
      <c r="C3" s="501"/>
      <c r="D3" s="501"/>
      <c r="E3" s="501"/>
      <c r="F3" s="501"/>
      <c r="G3" s="501"/>
      <c r="H3" s="501"/>
      <c r="I3" s="501"/>
      <c r="J3" s="501"/>
      <c r="K3" s="501"/>
      <c r="L3" s="501"/>
      <c r="M3" s="501"/>
      <c r="N3" s="501"/>
      <c r="O3" s="501"/>
      <c r="P3" s="501"/>
      <c r="Q3" s="501"/>
      <c r="R3" s="501"/>
      <c r="S3" s="501"/>
      <c r="T3" s="411"/>
      <c r="U3" s="411"/>
      <c r="V3" s="411"/>
      <c r="W3" s="411"/>
      <c r="X3" s="412"/>
    </row>
    <row r="4" spans="1:24" ht="15.75" customHeight="1">
      <c r="A4" s="550"/>
      <c r="B4" s="501"/>
      <c r="C4" s="501"/>
      <c r="D4" s="501"/>
      <c r="E4" s="501"/>
      <c r="F4" s="501"/>
      <c r="G4" s="501"/>
      <c r="H4" s="501"/>
      <c r="I4" s="501"/>
      <c r="J4" s="501"/>
      <c r="K4" s="501"/>
      <c r="L4" s="501"/>
      <c r="M4" s="501"/>
      <c r="N4" s="501"/>
      <c r="O4" s="501"/>
      <c r="P4" s="501"/>
      <c r="Q4" s="501"/>
      <c r="R4" s="501"/>
      <c r="S4" s="501"/>
      <c r="T4" s="411"/>
      <c r="U4" s="411"/>
      <c r="V4" s="411"/>
      <c r="W4" s="411"/>
      <c r="X4" s="412"/>
    </row>
    <row r="5" spans="1:24" ht="15" customHeight="1">
      <c r="A5" s="413" t="s">
        <v>2</v>
      </c>
      <c r="B5" s="430" t="s">
        <v>3</v>
      </c>
      <c r="C5" s="415" t="s">
        <v>4</v>
      </c>
      <c r="D5" s="417" t="s">
        <v>5</v>
      </c>
      <c r="E5" s="426" t="s">
        <v>6</v>
      </c>
      <c r="F5" s="435"/>
      <c r="G5" s="427"/>
      <c r="H5" s="426" t="s">
        <v>7</v>
      </c>
      <c r="I5" s="435"/>
      <c r="J5" s="427"/>
      <c r="K5" s="426" t="s">
        <v>8</v>
      </c>
      <c r="L5" s="435"/>
      <c r="M5" s="427"/>
      <c r="N5" s="428" t="s">
        <v>9</v>
      </c>
      <c r="O5" s="439"/>
      <c r="P5" s="429"/>
      <c r="Q5" s="419" t="s">
        <v>10</v>
      </c>
      <c r="R5" s="419" t="s">
        <v>11</v>
      </c>
      <c r="S5" s="434" t="s">
        <v>12</v>
      </c>
      <c r="T5" s="427"/>
      <c r="U5" s="428" t="s">
        <v>13</v>
      </c>
      <c r="V5" s="429"/>
      <c r="W5" s="475" t="s">
        <v>14</v>
      </c>
      <c r="X5" s="468" t="s">
        <v>15</v>
      </c>
    </row>
    <row r="6" spans="1:24" ht="15" customHeight="1">
      <c r="A6" s="414"/>
      <c r="B6" s="431"/>
      <c r="C6" s="416"/>
      <c r="D6" s="418"/>
      <c r="E6" s="133" t="s">
        <v>16</v>
      </c>
      <c r="F6" s="134" t="s">
        <v>17</v>
      </c>
      <c r="G6" s="136" t="s">
        <v>18</v>
      </c>
      <c r="H6" s="133" t="s">
        <v>16</v>
      </c>
      <c r="I6" s="134" t="s">
        <v>17</v>
      </c>
      <c r="J6" s="136" t="s">
        <v>18</v>
      </c>
      <c r="K6" s="133" t="s">
        <v>16</v>
      </c>
      <c r="L6" s="134" t="s">
        <v>17</v>
      </c>
      <c r="M6" s="136" t="s">
        <v>18</v>
      </c>
      <c r="N6" s="145" t="s">
        <v>19</v>
      </c>
      <c r="O6" s="141" t="s">
        <v>20</v>
      </c>
      <c r="P6" s="146" t="s">
        <v>21</v>
      </c>
      <c r="Q6" s="420"/>
      <c r="R6" s="420"/>
      <c r="S6" s="135" t="s">
        <v>22</v>
      </c>
      <c r="T6" s="136" t="s">
        <v>23</v>
      </c>
      <c r="U6" s="145" t="s">
        <v>24</v>
      </c>
      <c r="V6" s="146" t="s">
        <v>25</v>
      </c>
      <c r="W6" s="476"/>
      <c r="X6" s="438"/>
    </row>
    <row r="7" spans="1:24" ht="18.75" customHeight="1">
      <c r="A7" s="94" t="s">
        <v>519</v>
      </c>
      <c r="B7" s="52" t="s">
        <v>33</v>
      </c>
      <c r="C7" s="57">
        <v>16</v>
      </c>
      <c r="D7" s="210">
        <v>20.6</v>
      </c>
      <c r="E7" s="26">
        <f>48/16</f>
        <v>3</v>
      </c>
      <c r="F7" s="6">
        <f>121/16</f>
        <v>7.5625</v>
      </c>
      <c r="G7" s="167">
        <v>39.700000000000003</v>
      </c>
      <c r="H7" s="26">
        <f>51/16</f>
        <v>3.1875</v>
      </c>
      <c r="I7" s="6">
        <f>145/16</f>
        <v>9.0625</v>
      </c>
      <c r="J7" s="167">
        <v>35.200000000000003</v>
      </c>
      <c r="K7" s="26">
        <f>81/16</f>
        <v>5.0625</v>
      </c>
      <c r="L7" s="6">
        <f>100/16</f>
        <v>6.25</v>
      </c>
      <c r="M7" s="167">
        <v>81</v>
      </c>
      <c r="N7" s="49">
        <v>3.9</v>
      </c>
      <c r="O7" s="6">
        <v>0.8</v>
      </c>
      <c r="P7" s="27">
        <v>4.8</v>
      </c>
      <c r="Q7" s="285">
        <v>4.8</v>
      </c>
      <c r="R7" s="381">
        <v>0.3</v>
      </c>
      <c r="S7" s="43">
        <v>3.9</v>
      </c>
      <c r="T7" s="23">
        <v>1.7</v>
      </c>
      <c r="U7" s="26">
        <v>2</v>
      </c>
      <c r="V7" s="100" t="s">
        <v>28</v>
      </c>
      <c r="W7" s="57" t="s">
        <v>520</v>
      </c>
      <c r="X7" s="234">
        <v>19.600000000000001</v>
      </c>
    </row>
    <row r="8" spans="1:24" ht="18.75" customHeight="1">
      <c r="A8" s="127" t="s">
        <v>521</v>
      </c>
      <c r="B8" s="51" t="s">
        <v>33</v>
      </c>
      <c r="C8" s="56">
        <v>4</v>
      </c>
      <c r="D8" s="211">
        <v>16.5</v>
      </c>
      <c r="E8" s="25">
        <f>27/4</f>
        <v>6.75</v>
      </c>
      <c r="F8" s="12">
        <f>57/4</f>
        <v>14.25</v>
      </c>
      <c r="G8" s="165">
        <v>47.4</v>
      </c>
      <c r="H8" s="25">
        <f>2/4</f>
        <v>0.5</v>
      </c>
      <c r="I8" s="12">
        <v>1</v>
      </c>
      <c r="J8" s="216">
        <v>50</v>
      </c>
      <c r="K8" s="25">
        <f>6/4</f>
        <v>1.5</v>
      </c>
      <c r="L8" s="12">
        <f>12/4</f>
        <v>3</v>
      </c>
      <c r="M8" s="216">
        <v>50</v>
      </c>
      <c r="N8" s="25">
        <v>8.3000000000000007</v>
      </c>
      <c r="O8" s="11">
        <v>4.3</v>
      </c>
      <c r="P8" s="33">
        <v>12.5</v>
      </c>
      <c r="Q8" s="286">
        <v>0.3</v>
      </c>
      <c r="R8" s="288">
        <v>1</v>
      </c>
      <c r="S8" s="42">
        <v>1.8</v>
      </c>
      <c r="T8" s="22">
        <v>0.5</v>
      </c>
      <c r="U8" s="47">
        <v>1.8</v>
      </c>
      <c r="V8" s="99" t="s">
        <v>28</v>
      </c>
      <c r="W8" s="56" t="s">
        <v>522</v>
      </c>
      <c r="X8" s="235">
        <v>19.5</v>
      </c>
    </row>
    <row r="9" spans="1:24" ht="18.75" customHeight="1">
      <c r="A9" s="94" t="s">
        <v>523</v>
      </c>
      <c r="B9" s="52" t="s">
        <v>33</v>
      </c>
      <c r="C9" s="57">
        <v>8</v>
      </c>
      <c r="D9" s="351">
        <v>16.5</v>
      </c>
      <c r="E9" s="26">
        <f>42/8</f>
        <v>5.25</v>
      </c>
      <c r="F9" s="6">
        <f>82/8</f>
        <v>10.25</v>
      </c>
      <c r="G9" s="167">
        <v>51.2</v>
      </c>
      <c r="H9" s="32">
        <v>0</v>
      </c>
      <c r="I9" s="6">
        <f>2/8</f>
        <v>0.25</v>
      </c>
      <c r="J9" s="167">
        <v>0</v>
      </c>
      <c r="K9" s="26">
        <f>48/8</f>
        <v>6</v>
      </c>
      <c r="L9" s="6">
        <f>66/8</f>
        <v>8.25</v>
      </c>
      <c r="M9" s="167">
        <v>72.7</v>
      </c>
      <c r="N9" s="26">
        <v>5.8</v>
      </c>
      <c r="O9" s="10">
        <v>2.8</v>
      </c>
      <c r="P9" s="27">
        <v>8.5</v>
      </c>
      <c r="Q9" s="285">
        <v>0.6</v>
      </c>
      <c r="R9" s="285">
        <v>1</v>
      </c>
      <c r="S9" s="30">
        <v>2.1</v>
      </c>
      <c r="T9" s="103">
        <v>0.4</v>
      </c>
      <c r="U9" s="26">
        <v>3.5</v>
      </c>
      <c r="V9" s="100" t="s">
        <v>28</v>
      </c>
      <c r="W9" s="57" t="s">
        <v>272</v>
      </c>
      <c r="X9" s="232">
        <v>19.3</v>
      </c>
    </row>
    <row r="10" spans="1:24" ht="18.75" customHeight="1">
      <c r="A10" s="127" t="s">
        <v>524</v>
      </c>
      <c r="B10" s="51" t="s">
        <v>33</v>
      </c>
      <c r="C10" s="56">
        <v>8</v>
      </c>
      <c r="D10" s="211">
        <v>13.1</v>
      </c>
      <c r="E10" s="25">
        <f>19/8</f>
        <v>2.375</v>
      </c>
      <c r="F10" s="12">
        <f>45/8</f>
        <v>5.625</v>
      </c>
      <c r="G10" s="165">
        <v>42.2</v>
      </c>
      <c r="H10" s="25">
        <f>11/8</f>
        <v>1.375</v>
      </c>
      <c r="I10" s="12">
        <f>34/8</f>
        <v>4.25</v>
      </c>
      <c r="J10" s="216">
        <v>32.4</v>
      </c>
      <c r="K10" s="25">
        <f>34/8</f>
        <v>4.25</v>
      </c>
      <c r="L10" s="12">
        <f>65/8</f>
        <v>8.125</v>
      </c>
      <c r="M10" s="216">
        <v>61.8</v>
      </c>
      <c r="N10" s="47">
        <v>4.4000000000000004</v>
      </c>
      <c r="O10" s="15">
        <v>1.5</v>
      </c>
      <c r="P10" s="33">
        <v>5.9</v>
      </c>
      <c r="Q10" s="286">
        <v>4.3</v>
      </c>
      <c r="R10" s="354">
        <v>0</v>
      </c>
      <c r="S10" s="42">
        <v>3.4</v>
      </c>
      <c r="T10" s="22">
        <v>2.4</v>
      </c>
      <c r="U10" s="47">
        <v>3.6</v>
      </c>
      <c r="V10" s="99" t="s">
        <v>28</v>
      </c>
      <c r="W10" s="56" t="s">
        <v>525</v>
      </c>
      <c r="X10" s="235">
        <v>15.9</v>
      </c>
    </row>
    <row r="11" spans="1:24" ht="18.75" customHeight="1">
      <c r="A11" s="94" t="s">
        <v>526</v>
      </c>
      <c r="B11" s="52" t="s">
        <v>33</v>
      </c>
      <c r="C11" s="57">
        <v>4</v>
      </c>
      <c r="D11" s="351">
        <v>12</v>
      </c>
      <c r="E11" s="26">
        <f>13/4</f>
        <v>3.25</v>
      </c>
      <c r="F11" s="6">
        <f>26/4</f>
        <v>6.5</v>
      </c>
      <c r="G11" s="167">
        <v>50</v>
      </c>
      <c r="H11" s="26">
        <f>6/4</f>
        <v>1.5</v>
      </c>
      <c r="I11" s="6">
        <f>20/4</f>
        <v>5</v>
      </c>
      <c r="J11" s="167">
        <v>30</v>
      </c>
      <c r="K11" s="26">
        <v>1</v>
      </c>
      <c r="L11" s="6">
        <f>5/4</f>
        <v>1.25</v>
      </c>
      <c r="M11" s="167">
        <v>80</v>
      </c>
      <c r="N11" s="26">
        <v>2.2999999999999998</v>
      </c>
      <c r="O11" s="6">
        <v>0.5</v>
      </c>
      <c r="P11" s="27">
        <v>2.8</v>
      </c>
      <c r="Q11" s="285">
        <v>6.5</v>
      </c>
      <c r="R11" s="382">
        <v>0</v>
      </c>
      <c r="S11" s="30">
        <v>2</v>
      </c>
      <c r="T11" s="103">
        <v>2</v>
      </c>
      <c r="U11" s="26">
        <v>2.5</v>
      </c>
      <c r="V11" s="100" t="s">
        <v>28</v>
      </c>
      <c r="W11" s="57" t="s">
        <v>38</v>
      </c>
      <c r="X11" s="234">
        <v>14.8</v>
      </c>
    </row>
    <row r="12" spans="1:24" ht="18.75" customHeight="1">
      <c r="A12" s="127" t="s">
        <v>527</v>
      </c>
      <c r="B12" s="51" t="s">
        <v>33</v>
      </c>
      <c r="C12" s="56">
        <v>11</v>
      </c>
      <c r="D12" s="209">
        <v>12.9</v>
      </c>
      <c r="E12" s="25">
        <f>36/11</f>
        <v>3.2727272727272729</v>
      </c>
      <c r="F12" s="12">
        <f>73/11</f>
        <v>6.6363636363636367</v>
      </c>
      <c r="G12" s="165">
        <v>49.3</v>
      </c>
      <c r="H12" s="25">
        <f>15/11</f>
        <v>1.3636363636363635</v>
      </c>
      <c r="I12" s="12">
        <f>44/11</f>
        <v>4</v>
      </c>
      <c r="J12" s="216">
        <v>34.1</v>
      </c>
      <c r="K12" s="25">
        <f>25/11</f>
        <v>2.2727272727272729</v>
      </c>
      <c r="L12" s="12">
        <f>42/11</f>
        <v>3.8181818181818183</v>
      </c>
      <c r="M12" s="216">
        <v>59.5</v>
      </c>
      <c r="N12" s="47">
        <v>4.7</v>
      </c>
      <c r="O12" s="12">
        <v>1.3</v>
      </c>
      <c r="P12" s="33">
        <v>6</v>
      </c>
      <c r="Q12" s="288">
        <v>0.6</v>
      </c>
      <c r="R12" s="286">
        <v>0.2</v>
      </c>
      <c r="S12" s="42">
        <v>2.1</v>
      </c>
      <c r="T12" s="102">
        <v>0.9</v>
      </c>
      <c r="U12" s="47">
        <v>1.6</v>
      </c>
      <c r="V12" s="99" t="s">
        <v>28</v>
      </c>
      <c r="W12" s="56" t="s">
        <v>38</v>
      </c>
      <c r="X12" s="235">
        <v>12.5</v>
      </c>
    </row>
    <row r="13" spans="1:24" ht="18.75" customHeight="1">
      <c r="A13" s="94" t="s">
        <v>528</v>
      </c>
      <c r="B13" s="52" t="s">
        <v>27</v>
      </c>
      <c r="C13" s="57">
        <v>10</v>
      </c>
      <c r="D13" s="210">
        <v>9.4</v>
      </c>
      <c r="E13" s="26">
        <v>2.5</v>
      </c>
      <c r="F13" s="6">
        <v>5.3</v>
      </c>
      <c r="G13" s="166">
        <v>47.2</v>
      </c>
      <c r="H13" s="26">
        <v>0.8</v>
      </c>
      <c r="I13" s="6">
        <v>2.2000000000000002</v>
      </c>
      <c r="J13" s="167">
        <v>36.4</v>
      </c>
      <c r="K13" s="26">
        <v>2</v>
      </c>
      <c r="L13" s="6">
        <v>3.1</v>
      </c>
      <c r="M13" s="167">
        <v>64.5</v>
      </c>
      <c r="N13" s="49">
        <v>4.7</v>
      </c>
      <c r="O13" s="6">
        <v>2.5</v>
      </c>
      <c r="P13" s="27">
        <v>7.2</v>
      </c>
      <c r="Q13" s="285">
        <v>2.9</v>
      </c>
      <c r="R13" s="287">
        <v>0</v>
      </c>
      <c r="S13" s="43">
        <v>1.5</v>
      </c>
      <c r="T13" s="103">
        <v>1</v>
      </c>
      <c r="U13" s="49">
        <v>2.1</v>
      </c>
      <c r="V13" s="100" t="s">
        <v>28</v>
      </c>
      <c r="W13" s="57" t="s">
        <v>453</v>
      </c>
      <c r="X13" s="232">
        <v>11.6</v>
      </c>
    </row>
    <row r="14" spans="1:24" ht="18.75" customHeight="1">
      <c r="A14" s="127" t="s">
        <v>529</v>
      </c>
      <c r="B14" s="51" t="s">
        <v>33</v>
      </c>
      <c r="C14" s="56">
        <v>5</v>
      </c>
      <c r="D14" s="211">
        <v>10.6</v>
      </c>
      <c r="E14" s="25">
        <v>1</v>
      </c>
      <c r="F14" s="12">
        <f>9/5</f>
        <v>1.8</v>
      </c>
      <c r="G14" s="165">
        <v>55.6</v>
      </c>
      <c r="H14" s="25">
        <f>12/5</f>
        <v>2.4</v>
      </c>
      <c r="I14" s="12">
        <f>36/5</f>
        <v>7.2</v>
      </c>
      <c r="J14" s="216">
        <v>33.299999999999997</v>
      </c>
      <c r="K14" s="25">
        <f>7/5</f>
        <v>1.4</v>
      </c>
      <c r="L14" s="12">
        <v>2</v>
      </c>
      <c r="M14" s="216">
        <v>70</v>
      </c>
      <c r="N14" s="25">
        <v>1.8</v>
      </c>
      <c r="O14" s="11">
        <v>0.2</v>
      </c>
      <c r="P14" s="33">
        <v>2</v>
      </c>
      <c r="Q14" s="286">
        <v>2.8</v>
      </c>
      <c r="R14" s="375">
        <v>0</v>
      </c>
      <c r="S14" s="42">
        <v>0.8</v>
      </c>
      <c r="T14" s="22">
        <v>0.8</v>
      </c>
      <c r="U14" s="47">
        <v>2.6</v>
      </c>
      <c r="V14" s="99" t="s">
        <v>28</v>
      </c>
      <c r="W14" s="56" t="s">
        <v>530</v>
      </c>
      <c r="X14" s="235">
        <v>10</v>
      </c>
    </row>
    <row r="15" spans="1:24" ht="18.75" customHeight="1">
      <c r="A15" s="94" t="s">
        <v>531</v>
      </c>
      <c r="B15" s="52" t="s">
        <v>33</v>
      </c>
      <c r="C15" s="57">
        <v>4</v>
      </c>
      <c r="D15" s="351">
        <v>12</v>
      </c>
      <c r="E15" s="26">
        <f>12/4</f>
        <v>3</v>
      </c>
      <c r="F15" s="6">
        <f>26/4</f>
        <v>6.5</v>
      </c>
      <c r="G15" s="167">
        <v>46.2</v>
      </c>
      <c r="H15" s="26">
        <f>7/4</f>
        <v>1.75</v>
      </c>
      <c r="I15" s="6">
        <f>17/4</f>
        <v>4.25</v>
      </c>
      <c r="J15" s="167">
        <v>41.2</v>
      </c>
      <c r="K15" s="26">
        <f>3/4</f>
        <v>0.75</v>
      </c>
      <c r="L15" s="6">
        <f>6/4</f>
        <v>1.5</v>
      </c>
      <c r="M15" s="167">
        <v>50</v>
      </c>
      <c r="N15" s="26">
        <v>1.8</v>
      </c>
      <c r="O15" s="6">
        <v>1.3</v>
      </c>
      <c r="P15" s="27">
        <v>3</v>
      </c>
      <c r="Q15" s="285">
        <v>1.8</v>
      </c>
      <c r="R15" s="382">
        <v>0.3</v>
      </c>
      <c r="S15" s="43">
        <v>1.8</v>
      </c>
      <c r="T15" s="103">
        <v>1</v>
      </c>
      <c r="U15" s="26">
        <v>2.8</v>
      </c>
      <c r="V15" s="100" t="s">
        <v>28</v>
      </c>
      <c r="W15" s="57">
        <v>27.3</v>
      </c>
      <c r="X15" s="234">
        <v>8.5</v>
      </c>
    </row>
    <row r="16" spans="1:24" ht="18.75" customHeight="1">
      <c r="A16" s="127" t="s">
        <v>532</v>
      </c>
      <c r="B16" s="51" t="s">
        <v>33</v>
      </c>
      <c r="C16" s="56">
        <v>2</v>
      </c>
      <c r="D16" s="211">
        <v>11</v>
      </c>
      <c r="E16" s="25">
        <v>0.5</v>
      </c>
      <c r="F16" s="12">
        <v>13.5</v>
      </c>
      <c r="G16" s="216">
        <v>37</v>
      </c>
      <c r="H16" s="25">
        <v>0</v>
      </c>
      <c r="I16" s="12">
        <v>0</v>
      </c>
      <c r="J16" s="216">
        <v>0</v>
      </c>
      <c r="K16" s="25">
        <v>1</v>
      </c>
      <c r="L16" s="12">
        <v>1</v>
      </c>
      <c r="M16" s="218">
        <v>100</v>
      </c>
      <c r="N16" s="25">
        <v>5</v>
      </c>
      <c r="O16" s="12">
        <v>3.5</v>
      </c>
      <c r="P16" s="33">
        <v>8.5</v>
      </c>
      <c r="Q16" s="288">
        <v>0.5</v>
      </c>
      <c r="R16" s="288">
        <v>2</v>
      </c>
      <c r="S16" s="29">
        <v>4</v>
      </c>
      <c r="T16" s="102">
        <v>2</v>
      </c>
      <c r="U16" s="25">
        <v>2.5</v>
      </c>
      <c r="V16" s="99" t="s">
        <v>28</v>
      </c>
      <c r="W16" s="56" t="s">
        <v>533</v>
      </c>
      <c r="X16" s="233">
        <v>8.5</v>
      </c>
    </row>
    <row r="17" spans="1:35" ht="18.75" customHeight="1">
      <c r="A17" s="94" t="s">
        <v>534</v>
      </c>
      <c r="B17" s="52" t="s">
        <v>27</v>
      </c>
      <c r="C17" s="57">
        <v>15</v>
      </c>
      <c r="D17" s="351">
        <v>7.7</v>
      </c>
      <c r="E17" s="26">
        <f>47/15</f>
        <v>3.1333333333333333</v>
      </c>
      <c r="F17" s="6">
        <f>80/15</f>
        <v>5.333333333333333</v>
      </c>
      <c r="G17" s="166">
        <v>58.8</v>
      </c>
      <c r="H17" s="32">
        <v>0</v>
      </c>
      <c r="I17" s="6">
        <f>9/15</f>
        <v>0.6</v>
      </c>
      <c r="J17" s="217">
        <v>0</v>
      </c>
      <c r="K17" s="26">
        <f>21/15</f>
        <v>1.4</v>
      </c>
      <c r="L17" s="6">
        <f>38/15</f>
        <v>2.5333333333333332</v>
      </c>
      <c r="M17" s="167">
        <v>55.3</v>
      </c>
      <c r="N17" s="26">
        <v>2.7</v>
      </c>
      <c r="O17" s="7">
        <v>1.3</v>
      </c>
      <c r="P17" s="27">
        <v>4</v>
      </c>
      <c r="Q17" s="287">
        <v>0.7</v>
      </c>
      <c r="R17" s="285">
        <v>0.5</v>
      </c>
      <c r="S17" s="43">
        <v>1.5</v>
      </c>
      <c r="T17" s="23">
        <v>1.2</v>
      </c>
      <c r="U17" s="26">
        <v>2</v>
      </c>
      <c r="V17" s="100" t="s">
        <v>28</v>
      </c>
      <c r="W17" s="57" t="s">
        <v>535</v>
      </c>
      <c r="X17" s="232">
        <v>8.3000000000000007</v>
      </c>
    </row>
    <row r="18" spans="1:35" ht="18.75" customHeight="1">
      <c r="A18" s="127" t="s">
        <v>536</v>
      </c>
      <c r="B18" s="51" t="s">
        <v>27</v>
      </c>
      <c r="C18" s="56">
        <v>19</v>
      </c>
      <c r="D18" s="209">
        <v>6.9</v>
      </c>
      <c r="E18" s="25">
        <f>56/19</f>
        <v>2.9473684210526314</v>
      </c>
      <c r="F18" s="12">
        <f>113/19</f>
        <v>5.9473684210526319</v>
      </c>
      <c r="G18" s="216">
        <v>49.6</v>
      </c>
      <c r="H18" s="25">
        <f>1/19</f>
        <v>5.2631578947368418E-2</v>
      </c>
      <c r="I18" s="12">
        <f>5/19</f>
        <v>0.26315789473684209</v>
      </c>
      <c r="J18" s="216">
        <v>20</v>
      </c>
      <c r="K18" s="25">
        <f>16/19</f>
        <v>0.84210526315789469</v>
      </c>
      <c r="L18" s="12">
        <f>32/19</f>
        <v>1.6842105263157894</v>
      </c>
      <c r="M18" s="216">
        <v>50</v>
      </c>
      <c r="N18" s="25">
        <v>3.6</v>
      </c>
      <c r="O18" s="11">
        <v>1.5</v>
      </c>
      <c r="P18" s="33">
        <v>5.0999999999999996</v>
      </c>
      <c r="Q18" s="286">
        <v>0.4</v>
      </c>
      <c r="R18" s="354">
        <v>0.5</v>
      </c>
      <c r="S18" s="29">
        <v>1.1000000000000001</v>
      </c>
      <c r="T18" s="22">
        <v>0.4</v>
      </c>
      <c r="U18" s="25">
        <v>2.9</v>
      </c>
      <c r="V18" s="99" t="s">
        <v>28</v>
      </c>
      <c r="W18" s="56" t="s">
        <v>471</v>
      </c>
      <c r="X18" s="233">
        <v>7.6</v>
      </c>
    </row>
    <row r="19" spans="1:35" ht="18.75" customHeight="1">
      <c r="A19" s="94" t="s">
        <v>537</v>
      </c>
      <c r="B19" s="52" t="s">
        <v>27</v>
      </c>
      <c r="C19" s="57">
        <v>21</v>
      </c>
      <c r="D19" s="351">
        <v>6.9</v>
      </c>
      <c r="E19" s="26">
        <f>42/21</f>
        <v>2</v>
      </c>
      <c r="F19" s="6">
        <f>70/21</f>
        <v>3.3333333333333335</v>
      </c>
      <c r="G19" s="167">
        <v>60</v>
      </c>
      <c r="H19" s="26">
        <f>13/21</f>
        <v>0.61904761904761907</v>
      </c>
      <c r="I19" s="6">
        <f>39/21</f>
        <v>1.8571428571428572</v>
      </c>
      <c r="J19" s="167">
        <v>33.299999999999997</v>
      </c>
      <c r="K19" s="26">
        <f>22/21</f>
        <v>1.0476190476190477</v>
      </c>
      <c r="L19" s="6">
        <f>29/21</f>
        <v>1.3809523809523809</v>
      </c>
      <c r="M19" s="167">
        <v>75.900000000000006</v>
      </c>
      <c r="N19" s="26">
        <v>0.6</v>
      </c>
      <c r="O19" s="6">
        <v>0.3</v>
      </c>
      <c r="P19" s="27">
        <v>0.9</v>
      </c>
      <c r="Q19" s="381">
        <v>0.9</v>
      </c>
      <c r="R19" s="287">
        <v>0</v>
      </c>
      <c r="S19" s="30">
        <v>0.7</v>
      </c>
      <c r="T19" s="23">
        <v>0.7</v>
      </c>
      <c r="U19" s="49">
        <v>1.3</v>
      </c>
      <c r="V19" s="100" t="s">
        <v>28</v>
      </c>
      <c r="W19" s="57" t="s">
        <v>157</v>
      </c>
      <c r="X19" s="232">
        <v>5.2</v>
      </c>
    </row>
    <row r="20" spans="1:35" ht="18.75" customHeight="1">
      <c r="A20" s="127" t="s">
        <v>538</v>
      </c>
      <c r="B20" s="51" t="s">
        <v>33</v>
      </c>
      <c r="C20" s="56">
        <v>5</v>
      </c>
      <c r="D20" s="211">
        <v>8.8000000000000007</v>
      </c>
      <c r="E20" s="25">
        <f>13/5</f>
        <v>2.6</v>
      </c>
      <c r="F20" s="12">
        <f>30/5</f>
        <v>6</v>
      </c>
      <c r="G20" s="165">
        <v>43.3</v>
      </c>
      <c r="H20" s="25">
        <f>5/5</f>
        <v>1</v>
      </c>
      <c r="I20" s="12">
        <f>23/5</f>
        <v>4.5999999999999996</v>
      </c>
      <c r="J20" s="216">
        <v>21.7</v>
      </c>
      <c r="K20" s="25">
        <f>3/5</f>
        <v>0.6</v>
      </c>
      <c r="L20" s="12">
        <f>4/5</f>
        <v>0.8</v>
      </c>
      <c r="M20" s="216">
        <v>75</v>
      </c>
      <c r="N20" s="25">
        <v>3.2</v>
      </c>
      <c r="O20" s="12">
        <v>2</v>
      </c>
      <c r="P20" s="33">
        <v>5.2</v>
      </c>
      <c r="Q20" s="288">
        <v>1</v>
      </c>
      <c r="R20" s="375">
        <v>0</v>
      </c>
      <c r="S20" s="42">
        <v>1.6</v>
      </c>
      <c r="T20" s="22">
        <v>1.2</v>
      </c>
      <c r="U20" s="47">
        <v>2.4</v>
      </c>
      <c r="V20" s="99" t="s">
        <v>28</v>
      </c>
      <c r="W20" s="56" t="s">
        <v>539</v>
      </c>
      <c r="X20" s="235">
        <v>4.8</v>
      </c>
    </row>
    <row r="21" spans="1:35" ht="18.75" customHeight="1">
      <c r="A21" s="94" t="s">
        <v>540</v>
      </c>
      <c r="B21" s="52" t="s">
        <v>27</v>
      </c>
      <c r="C21" s="57">
        <v>12</v>
      </c>
      <c r="D21" s="351">
        <v>4.3</v>
      </c>
      <c r="E21" s="26">
        <f>17/12</f>
        <v>1.4166666666666667</v>
      </c>
      <c r="F21" s="6">
        <f>24/12</f>
        <v>2</v>
      </c>
      <c r="G21" s="166">
        <v>70.8</v>
      </c>
      <c r="H21" s="26">
        <f>3/12</f>
        <v>0.25</v>
      </c>
      <c r="I21" s="6">
        <f>22/12</f>
        <v>1.8333333333333333</v>
      </c>
      <c r="J21" s="167">
        <v>13.6</v>
      </c>
      <c r="K21" s="26">
        <f>8/12</f>
        <v>0.66666666666666663</v>
      </c>
      <c r="L21" s="6">
        <f>14/12</f>
        <v>1.1666666666666667</v>
      </c>
      <c r="M21" s="167">
        <v>57.1</v>
      </c>
      <c r="N21" s="26">
        <v>1.8</v>
      </c>
      <c r="O21" s="7">
        <v>0.3</v>
      </c>
      <c r="P21" s="27">
        <v>2.2000000000000002</v>
      </c>
      <c r="Q21" s="287">
        <v>2.9</v>
      </c>
      <c r="R21" s="382">
        <v>0</v>
      </c>
      <c r="S21" s="43">
        <v>2.2999999999999998</v>
      </c>
      <c r="T21" s="103">
        <v>1.6</v>
      </c>
      <c r="U21" s="49">
        <v>2.8</v>
      </c>
      <c r="V21" s="100" t="s">
        <v>28</v>
      </c>
      <c r="W21" s="57" t="s">
        <v>541</v>
      </c>
      <c r="X21" s="232">
        <v>4.7</v>
      </c>
    </row>
    <row r="22" spans="1:35" ht="18.75" customHeight="1">
      <c r="A22" s="127" t="s">
        <v>542</v>
      </c>
      <c r="B22" s="51" t="s">
        <v>27</v>
      </c>
      <c r="C22" s="56">
        <v>23</v>
      </c>
      <c r="D22" s="211">
        <v>5.9</v>
      </c>
      <c r="E22" s="25">
        <f>24/23</f>
        <v>1.0434782608695652</v>
      </c>
      <c r="F22" s="12">
        <f>54/23</f>
        <v>2.347826086956522</v>
      </c>
      <c r="G22" s="216">
        <v>44.4</v>
      </c>
      <c r="H22" s="25">
        <f>27/23</f>
        <v>1.173913043478261</v>
      </c>
      <c r="I22" s="12">
        <f>55/23</f>
        <v>2.3913043478260869</v>
      </c>
      <c r="J22" s="216">
        <v>41.5</v>
      </c>
      <c r="K22" s="25">
        <f>6/23</f>
        <v>0.2608695652173913</v>
      </c>
      <c r="L22" s="12">
        <f>9/23</f>
        <v>0.39130434782608697</v>
      </c>
      <c r="M22" s="165">
        <v>66.7</v>
      </c>
      <c r="N22" s="25">
        <v>1.3</v>
      </c>
      <c r="O22" s="11">
        <v>0.6</v>
      </c>
      <c r="P22" s="33">
        <v>1.8</v>
      </c>
      <c r="Q22" s="286">
        <v>0.8</v>
      </c>
      <c r="R22" s="286">
        <v>0</v>
      </c>
      <c r="S22" s="29">
        <v>0.9</v>
      </c>
      <c r="T22" s="102">
        <v>0.6</v>
      </c>
      <c r="U22" s="25">
        <v>1.4</v>
      </c>
      <c r="V22" s="99" t="s">
        <v>28</v>
      </c>
      <c r="W22" s="56" t="s">
        <v>263</v>
      </c>
      <c r="X22" s="235">
        <v>4</v>
      </c>
    </row>
    <row r="23" spans="1:35" ht="18.75" customHeight="1">
      <c r="A23" s="94" t="s">
        <v>543</v>
      </c>
      <c r="B23" s="52" t="s">
        <v>59</v>
      </c>
      <c r="C23" s="57">
        <v>16</v>
      </c>
      <c r="D23" s="351">
        <v>2.9</v>
      </c>
      <c r="E23" s="26">
        <f>10/16</f>
        <v>0.625</v>
      </c>
      <c r="F23" s="6">
        <f>26/16</f>
        <v>1.625</v>
      </c>
      <c r="G23" s="167">
        <v>38.5</v>
      </c>
      <c r="H23" s="26">
        <f>3/16</f>
        <v>0.1875</v>
      </c>
      <c r="I23" s="6">
        <f>14/16</f>
        <v>0.875</v>
      </c>
      <c r="J23" s="167">
        <v>21.4</v>
      </c>
      <c r="K23" s="339">
        <f>18/16</f>
        <v>1.125</v>
      </c>
      <c r="L23" s="6">
        <f>34/16</f>
        <v>2.125</v>
      </c>
      <c r="M23" s="345">
        <v>52.9</v>
      </c>
      <c r="N23" s="26">
        <v>2</v>
      </c>
      <c r="O23" s="6">
        <v>0.3</v>
      </c>
      <c r="P23" s="27">
        <v>2.2999999999999998</v>
      </c>
      <c r="Q23" s="285">
        <v>0.3</v>
      </c>
      <c r="R23" s="287">
        <v>0</v>
      </c>
      <c r="S23" s="43">
        <v>0.7</v>
      </c>
      <c r="T23" s="23">
        <v>0.4</v>
      </c>
      <c r="U23" s="26">
        <v>1.1000000000000001</v>
      </c>
      <c r="V23" s="100" t="s">
        <v>28</v>
      </c>
      <c r="W23" s="57" t="s">
        <v>544</v>
      </c>
      <c r="X23" s="234">
        <v>1.7</v>
      </c>
    </row>
    <row r="24" spans="1:35" ht="18.75" customHeight="1">
      <c r="A24" s="127" t="s">
        <v>545</v>
      </c>
      <c r="B24" s="51" t="s">
        <v>59</v>
      </c>
      <c r="C24" s="56">
        <v>9</v>
      </c>
      <c r="D24" s="209">
        <v>0.8</v>
      </c>
      <c r="E24" s="25">
        <f>2/9</f>
        <v>0.22222222222222221</v>
      </c>
      <c r="F24" s="12">
        <f>8/9</f>
        <v>0.88888888888888884</v>
      </c>
      <c r="G24" s="216">
        <v>25</v>
      </c>
      <c r="H24" s="31">
        <v>0</v>
      </c>
      <c r="I24" s="14">
        <v>0</v>
      </c>
      <c r="J24" s="218">
        <v>0</v>
      </c>
      <c r="K24" s="25">
        <f>3/9</f>
        <v>0.33333333333333331</v>
      </c>
      <c r="L24" s="12">
        <f>4/9</f>
        <v>0.44444444444444442</v>
      </c>
      <c r="M24" s="216">
        <v>75</v>
      </c>
      <c r="N24" s="47">
        <v>1.1000000000000001</v>
      </c>
      <c r="O24" s="12">
        <v>0.4</v>
      </c>
      <c r="P24" s="33">
        <v>1.6</v>
      </c>
      <c r="Q24" s="288">
        <v>0.2</v>
      </c>
      <c r="R24" s="286">
        <v>0</v>
      </c>
      <c r="S24" s="42">
        <v>0.3</v>
      </c>
      <c r="T24" s="102">
        <v>0.1</v>
      </c>
      <c r="U24" s="47">
        <v>1.4</v>
      </c>
      <c r="V24" s="99" t="s">
        <v>28</v>
      </c>
      <c r="W24" s="56" t="s">
        <v>546</v>
      </c>
      <c r="X24" s="235">
        <v>0.3</v>
      </c>
    </row>
    <row r="25" spans="1:35" ht="18.75" customHeight="1">
      <c r="A25" s="94" t="s">
        <v>547</v>
      </c>
      <c r="B25" s="52" t="s">
        <v>27</v>
      </c>
      <c r="C25" s="57">
        <v>8</v>
      </c>
      <c r="D25" s="210">
        <v>1.9</v>
      </c>
      <c r="E25" s="26">
        <v>0.5</v>
      </c>
      <c r="F25" s="6">
        <f>8/10</f>
        <v>0.8</v>
      </c>
      <c r="G25" s="167">
        <v>40</v>
      </c>
      <c r="H25" s="26">
        <f>2/8</f>
        <v>0.25</v>
      </c>
      <c r="I25" s="6">
        <f>15/8</f>
        <v>1.875</v>
      </c>
      <c r="J25" s="167">
        <v>13.3</v>
      </c>
      <c r="K25" s="26">
        <f>1/8</f>
        <v>0.125</v>
      </c>
      <c r="L25" s="6">
        <v>0.1</v>
      </c>
      <c r="M25" s="217">
        <v>100</v>
      </c>
      <c r="N25" s="49">
        <v>1.1000000000000001</v>
      </c>
      <c r="O25" s="7">
        <v>0.1</v>
      </c>
      <c r="P25" s="27">
        <v>1.3</v>
      </c>
      <c r="Q25" s="287">
        <v>0.5</v>
      </c>
      <c r="R25" s="285">
        <v>0.1</v>
      </c>
      <c r="S25" s="30">
        <v>0.8</v>
      </c>
      <c r="T25" s="23">
        <v>0.1</v>
      </c>
      <c r="U25" s="49">
        <v>2.9</v>
      </c>
      <c r="V25" s="100" t="s">
        <v>28</v>
      </c>
      <c r="W25" s="57" t="s">
        <v>548</v>
      </c>
      <c r="X25" s="388">
        <v>0</v>
      </c>
    </row>
    <row r="26" spans="1:35" ht="18.75" customHeight="1">
      <c r="A26" s="128" t="s">
        <v>549</v>
      </c>
      <c r="B26" s="75" t="s">
        <v>27</v>
      </c>
      <c r="C26" s="73">
        <v>10</v>
      </c>
      <c r="D26" s="357">
        <v>1.4</v>
      </c>
      <c r="E26" s="68">
        <v>0.3</v>
      </c>
      <c r="F26" s="69">
        <v>0.8</v>
      </c>
      <c r="G26" s="168">
        <v>37.5</v>
      </c>
      <c r="H26" s="68">
        <v>0.2</v>
      </c>
      <c r="I26" s="69">
        <v>0.6</v>
      </c>
      <c r="J26" s="171">
        <v>33.299999999999997</v>
      </c>
      <c r="K26" s="68">
        <v>0.2</v>
      </c>
      <c r="L26" s="69">
        <v>0.2</v>
      </c>
      <c r="M26" s="225">
        <v>100</v>
      </c>
      <c r="N26" s="74">
        <v>0.5</v>
      </c>
      <c r="O26" s="69">
        <v>0.2</v>
      </c>
      <c r="P26" s="242">
        <v>0.7</v>
      </c>
      <c r="Q26" s="293">
        <v>0.1</v>
      </c>
      <c r="R26" s="295">
        <v>0.1</v>
      </c>
      <c r="S26" s="71">
        <v>0.5</v>
      </c>
      <c r="T26" s="386">
        <v>0.3</v>
      </c>
      <c r="U26" s="74">
        <v>1.8</v>
      </c>
      <c r="V26" s="243" t="s">
        <v>28</v>
      </c>
      <c r="W26" s="73" t="s">
        <v>550</v>
      </c>
      <c r="X26" s="389">
        <v>0</v>
      </c>
    </row>
    <row r="27" spans="1:35" s="2" customFormat="1" ht="18.75" customHeight="1">
      <c r="A27" s="448" t="s">
        <v>551</v>
      </c>
      <c r="B27" s="449"/>
      <c r="C27" s="88">
        <v>23</v>
      </c>
      <c r="D27" s="391">
        <v>77.400000000000006</v>
      </c>
      <c r="E27" s="80">
        <f>468/23</f>
        <v>20.347826086956523</v>
      </c>
      <c r="F27" s="81">
        <f>965/23</f>
        <v>41.956521739130437</v>
      </c>
      <c r="G27" s="82">
        <v>48.5</v>
      </c>
      <c r="H27" s="80">
        <f>170/23</f>
        <v>7.3913043478260869</v>
      </c>
      <c r="I27" s="81">
        <f>544/23</f>
        <v>23.652173913043477</v>
      </c>
      <c r="J27" s="82">
        <v>31.3</v>
      </c>
      <c r="K27" s="80">
        <f>334/23</f>
        <v>14.521739130434783</v>
      </c>
      <c r="L27" s="81">
        <f>506/23</f>
        <v>22</v>
      </c>
      <c r="M27" s="86">
        <v>66</v>
      </c>
      <c r="N27" s="89">
        <v>24.8</v>
      </c>
      <c r="O27" s="85">
        <v>9.4</v>
      </c>
      <c r="P27" s="245">
        <v>34.200000000000003</v>
      </c>
      <c r="Q27" s="296">
        <v>13.3</v>
      </c>
      <c r="R27" s="296">
        <v>2</v>
      </c>
      <c r="S27" s="230">
        <v>14.4</v>
      </c>
      <c r="T27" s="392">
        <v>8</v>
      </c>
      <c r="U27" s="80">
        <v>19.8</v>
      </c>
      <c r="V27" s="270"/>
      <c r="W27" s="125"/>
      <c r="X27" s="390">
        <v>72</v>
      </c>
      <c r="Y27"/>
      <c r="Z27"/>
    </row>
    <row r="28" spans="1:35" s="2" customFormat="1" ht="18.75" customHeight="1">
      <c r="A28" s="440" t="s">
        <v>62</v>
      </c>
      <c r="B28" s="478"/>
      <c r="C28" s="163">
        <v>23</v>
      </c>
      <c r="D28" s="393">
        <v>84.8</v>
      </c>
      <c r="E28" s="446"/>
      <c r="F28" s="447"/>
      <c r="G28" s="278">
        <v>53.9</v>
      </c>
      <c r="H28" s="445"/>
      <c r="I28" s="443"/>
      <c r="J28" s="394">
        <v>33.200000000000003</v>
      </c>
      <c r="K28" s="442"/>
      <c r="L28" s="443"/>
      <c r="M28" s="443"/>
      <c r="N28" s="443"/>
      <c r="O28" s="443"/>
      <c r="P28" s="443"/>
      <c r="Q28" s="443"/>
      <c r="R28" s="443"/>
      <c r="S28" s="443"/>
      <c r="T28" s="443"/>
      <c r="U28" s="443"/>
      <c r="V28" s="443"/>
      <c r="W28" s="443"/>
      <c r="X28" s="444"/>
      <c r="Y28"/>
      <c r="Z28"/>
    </row>
    <row r="29" spans="1:35" s="2" customFormat="1" ht="18.75" customHeight="1">
      <c r="A29" s="437" t="s">
        <v>552</v>
      </c>
      <c r="B29" s="437"/>
      <c r="C29" s="437"/>
      <c r="D29" s="437"/>
      <c r="E29" s="437"/>
      <c r="F29" s="437"/>
      <c r="G29" s="437"/>
      <c r="H29" s="437"/>
      <c r="I29" s="437"/>
      <c r="J29" s="437"/>
      <c r="K29" s="437"/>
      <c r="L29" s="437"/>
      <c r="M29" s="437"/>
      <c r="N29" s="437"/>
      <c r="O29" s="437"/>
      <c r="P29" s="437"/>
      <c r="Q29" s="437"/>
      <c r="R29" s="437"/>
      <c r="S29" s="437"/>
      <c r="T29" s="437"/>
      <c r="U29" s="437"/>
      <c r="V29" s="437"/>
      <c r="W29" s="437"/>
      <c r="X29" s="437"/>
      <c r="Y29"/>
      <c r="Z29"/>
    </row>
    <row r="30" spans="1:35" s="2" customFormat="1" ht="18.75" customHeight="1">
      <c r="A30" s="432" t="s">
        <v>553</v>
      </c>
      <c r="B30" s="432"/>
      <c r="C30" s="432"/>
      <c r="D30" s="432"/>
      <c r="E30" s="432"/>
      <c r="F30" s="432"/>
      <c r="G30" s="432"/>
      <c r="H30" s="432"/>
      <c r="I30" s="432"/>
      <c r="J30" s="432"/>
      <c r="K30" s="432"/>
      <c r="L30" s="432"/>
      <c r="M30" s="432"/>
      <c r="N30" s="432"/>
      <c r="O30" s="432"/>
      <c r="P30" s="432"/>
      <c r="Q30" s="432"/>
      <c r="R30" s="432"/>
      <c r="S30" s="432"/>
      <c r="T30" s="432"/>
      <c r="U30" s="432"/>
      <c r="V30" s="432"/>
      <c r="W30" s="432"/>
      <c r="X30" s="432"/>
      <c r="Y30"/>
      <c r="Z30"/>
    </row>
    <row r="31" spans="1:35" s="2" customFormat="1" ht="18.75" customHeight="1">
      <c r="A31" s="433" t="s">
        <v>65</v>
      </c>
      <c r="B31" s="433"/>
      <c r="C31" s="433"/>
      <c r="D31" s="433"/>
      <c r="E31" s="433"/>
      <c r="F31" s="433"/>
      <c r="G31" s="433"/>
      <c r="H31" s="433"/>
      <c r="I31" s="433"/>
      <c r="J31" s="433"/>
      <c r="K31" s="433"/>
      <c r="L31" s="433"/>
      <c r="M31" s="433"/>
      <c r="N31" s="433"/>
      <c r="O31" s="433"/>
      <c r="P31" s="433"/>
      <c r="Q31" s="433"/>
      <c r="R31" s="433"/>
      <c r="S31" s="433"/>
      <c r="T31" s="433"/>
      <c r="U31" s="433"/>
      <c r="V31" s="433"/>
      <c r="W31" s="433"/>
      <c r="X31" s="433"/>
      <c r="Y31"/>
      <c r="Z31"/>
      <c r="AI31" s="3"/>
    </row>
  </sheetData>
  <mergeCells count="26">
    <mergeCell ref="A31:X31"/>
    <mergeCell ref="A5:A6"/>
    <mergeCell ref="A27:B27"/>
    <mergeCell ref="A28:B28"/>
    <mergeCell ref="E5:G5"/>
    <mergeCell ref="H5:J5"/>
    <mergeCell ref="K5:M5"/>
    <mergeCell ref="N5:P5"/>
    <mergeCell ref="C5:C6"/>
    <mergeCell ref="A29:X29"/>
    <mergeCell ref="A30:X30"/>
    <mergeCell ref="R5:R6"/>
    <mergeCell ref="Q5:Q6"/>
    <mergeCell ref="U5:V5"/>
    <mergeCell ref="E28:F28"/>
    <mergeCell ref="H28:I28"/>
    <mergeCell ref="K28:X28"/>
    <mergeCell ref="A1:A4"/>
    <mergeCell ref="D5:D6"/>
    <mergeCell ref="X5:X6"/>
    <mergeCell ref="W5:W6"/>
    <mergeCell ref="B5:B6"/>
    <mergeCell ref="B1:S2"/>
    <mergeCell ref="T1:X4"/>
    <mergeCell ref="B3:S4"/>
    <mergeCell ref="S5:T5"/>
  </mergeCells>
  <pageMargins left="0.25" right="0.25" top="0.75" bottom="0.75" header="0.3" footer="0.3"/>
  <pageSetup paperSize="5" orientation="landscape" horizontalDpi="90" verticalDpi="90" r:id="rId1"/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2060"/>
  </sheetPr>
  <dimension ref="A1:AI26"/>
  <sheetViews>
    <sheetView zoomScaleNormal="100" workbookViewId="0">
      <selection activeCell="B1" sqref="B1:S2"/>
    </sheetView>
  </sheetViews>
  <sheetFormatPr defaultColWidth="9.140625" defaultRowHeight="15"/>
  <cols>
    <col min="1" max="1" width="25.140625" customWidth="1"/>
    <col min="2" max="2" width="7.140625" customWidth="1"/>
    <col min="3" max="3" width="5.7109375" style="1" customWidth="1"/>
    <col min="4" max="4" width="6.140625" style="1" customWidth="1"/>
    <col min="5" max="23" width="5.7109375" style="1" customWidth="1"/>
    <col min="24" max="24" width="6.140625" style="1" customWidth="1"/>
    <col min="25" max="255" width="11.42578125" customWidth="1"/>
  </cols>
  <sheetData>
    <row r="1" spans="1:24" ht="14.25" customHeight="1">
      <c r="A1" s="552"/>
      <c r="B1" s="421" t="s">
        <v>554</v>
      </c>
      <c r="C1" s="421"/>
      <c r="D1" s="421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1"/>
      <c r="Q1" s="421"/>
      <c r="R1" s="421"/>
      <c r="S1" s="421"/>
      <c r="T1" s="409"/>
      <c r="U1" s="409"/>
      <c r="V1" s="409"/>
      <c r="W1" s="409"/>
      <c r="X1" s="410"/>
    </row>
    <row r="2" spans="1:24" ht="14.25" customHeight="1">
      <c r="A2" s="553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11"/>
      <c r="U2" s="411"/>
      <c r="V2" s="411"/>
      <c r="W2" s="411"/>
      <c r="X2" s="412"/>
    </row>
    <row r="3" spans="1:24" ht="15" customHeight="1">
      <c r="A3" s="553"/>
      <c r="B3" s="551" t="s">
        <v>555</v>
      </c>
      <c r="C3" s="551"/>
      <c r="D3" s="551"/>
      <c r="E3" s="551"/>
      <c r="F3" s="551"/>
      <c r="G3" s="551"/>
      <c r="H3" s="551"/>
      <c r="I3" s="551"/>
      <c r="J3" s="551"/>
      <c r="K3" s="551"/>
      <c r="L3" s="551"/>
      <c r="M3" s="551"/>
      <c r="N3" s="551"/>
      <c r="O3" s="551"/>
      <c r="P3" s="551"/>
      <c r="Q3" s="551"/>
      <c r="R3" s="551"/>
      <c r="S3" s="551"/>
      <c r="T3" s="411"/>
      <c r="U3" s="411"/>
      <c r="V3" s="411"/>
      <c r="W3" s="411"/>
      <c r="X3" s="412"/>
    </row>
    <row r="4" spans="1:24" ht="15.75" customHeight="1">
      <c r="A4" s="553"/>
      <c r="B4" s="551"/>
      <c r="C4" s="551"/>
      <c r="D4" s="551"/>
      <c r="E4" s="551"/>
      <c r="F4" s="551"/>
      <c r="G4" s="551"/>
      <c r="H4" s="551"/>
      <c r="I4" s="551"/>
      <c r="J4" s="551"/>
      <c r="K4" s="551"/>
      <c r="L4" s="551"/>
      <c r="M4" s="551"/>
      <c r="N4" s="551"/>
      <c r="O4" s="551"/>
      <c r="P4" s="551"/>
      <c r="Q4" s="551"/>
      <c r="R4" s="551"/>
      <c r="S4" s="551"/>
      <c r="T4" s="411"/>
      <c r="U4" s="411"/>
      <c r="V4" s="411"/>
      <c r="W4" s="411"/>
      <c r="X4" s="412"/>
    </row>
    <row r="5" spans="1:24" ht="15" customHeight="1">
      <c r="A5" s="413" t="s">
        <v>2</v>
      </c>
      <c r="B5" s="430" t="s">
        <v>3</v>
      </c>
      <c r="C5" s="415" t="s">
        <v>4</v>
      </c>
      <c r="D5" s="417" t="s">
        <v>5</v>
      </c>
      <c r="E5" s="426" t="s">
        <v>6</v>
      </c>
      <c r="F5" s="435"/>
      <c r="G5" s="427"/>
      <c r="H5" s="426" t="s">
        <v>7</v>
      </c>
      <c r="I5" s="435"/>
      <c r="J5" s="427"/>
      <c r="K5" s="426" t="s">
        <v>8</v>
      </c>
      <c r="L5" s="435"/>
      <c r="M5" s="427"/>
      <c r="N5" s="428" t="s">
        <v>9</v>
      </c>
      <c r="O5" s="439"/>
      <c r="P5" s="429"/>
      <c r="Q5" s="419" t="s">
        <v>10</v>
      </c>
      <c r="R5" s="415" t="s">
        <v>11</v>
      </c>
      <c r="S5" s="426" t="s">
        <v>12</v>
      </c>
      <c r="T5" s="427"/>
      <c r="U5" s="428" t="s">
        <v>13</v>
      </c>
      <c r="V5" s="429"/>
      <c r="W5" s="424" t="s">
        <v>14</v>
      </c>
      <c r="X5" s="419" t="s">
        <v>15</v>
      </c>
    </row>
    <row r="6" spans="1:24" ht="15" customHeight="1">
      <c r="A6" s="414"/>
      <c r="B6" s="431"/>
      <c r="C6" s="416"/>
      <c r="D6" s="418"/>
      <c r="E6" s="133" t="s">
        <v>16</v>
      </c>
      <c r="F6" s="134" t="s">
        <v>17</v>
      </c>
      <c r="G6" s="136" t="s">
        <v>18</v>
      </c>
      <c r="H6" s="133" t="s">
        <v>16</v>
      </c>
      <c r="I6" s="134" t="s">
        <v>17</v>
      </c>
      <c r="J6" s="136" t="s">
        <v>18</v>
      </c>
      <c r="K6" s="133" t="s">
        <v>16</v>
      </c>
      <c r="L6" s="134" t="s">
        <v>17</v>
      </c>
      <c r="M6" s="136" t="s">
        <v>18</v>
      </c>
      <c r="N6" s="145" t="s">
        <v>19</v>
      </c>
      <c r="O6" s="141" t="s">
        <v>20</v>
      </c>
      <c r="P6" s="146" t="s">
        <v>21</v>
      </c>
      <c r="Q6" s="420"/>
      <c r="R6" s="416"/>
      <c r="S6" s="133" t="s">
        <v>22</v>
      </c>
      <c r="T6" s="136" t="s">
        <v>23</v>
      </c>
      <c r="U6" s="145" t="s">
        <v>24</v>
      </c>
      <c r="V6" s="146" t="s">
        <v>25</v>
      </c>
      <c r="W6" s="477"/>
      <c r="X6" s="420"/>
    </row>
    <row r="7" spans="1:24" ht="18.75" customHeight="1">
      <c r="A7" s="94" t="s">
        <v>556</v>
      </c>
      <c r="B7" s="52" t="s">
        <v>33</v>
      </c>
      <c r="C7" s="57">
        <v>21</v>
      </c>
      <c r="D7" s="351">
        <v>16.399999999999999</v>
      </c>
      <c r="E7" s="26">
        <f>67/21</f>
        <v>3.1904761904761907</v>
      </c>
      <c r="F7" s="6">
        <f>129/21</f>
        <v>6.1428571428571432</v>
      </c>
      <c r="G7" s="167">
        <v>51.9</v>
      </c>
      <c r="H7" s="26">
        <f>42/21</f>
        <v>2</v>
      </c>
      <c r="I7" s="6">
        <f>121/21</f>
        <v>5.7619047619047619</v>
      </c>
      <c r="J7" s="167">
        <v>34.700000000000003</v>
      </c>
      <c r="K7" s="26">
        <f>85/21</f>
        <v>4.0476190476190474</v>
      </c>
      <c r="L7" s="6">
        <f>105/21</f>
        <v>5</v>
      </c>
      <c r="M7" s="167">
        <v>81</v>
      </c>
      <c r="N7" s="26">
        <v>2.7</v>
      </c>
      <c r="O7" s="6">
        <v>0.5</v>
      </c>
      <c r="P7" s="27">
        <v>3.2</v>
      </c>
      <c r="Q7" s="381">
        <v>2.1</v>
      </c>
      <c r="R7" s="57">
        <v>0.1</v>
      </c>
      <c r="S7" s="26">
        <v>2.2000000000000002</v>
      </c>
      <c r="T7" s="23">
        <v>1.6</v>
      </c>
      <c r="U7" s="49">
        <v>1.7</v>
      </c>
      <c r="V7" s="100" t="s">
        <v>28</v>
      </c>
      <c r="W7" s="287" t="s">
        <v>557</v>
      </c>
      <c r="X7" s="272">
        <v>16.8</v>
      </c>
    </row>
    <row r="8" spans="1:24" ht="18.75" customHeight="1">
      <c r="A8" s="127" t="s">
        <v>558</v>
      </c>
      <c r="B8" s="51" t="s">
        <v>33</v>
      </c>
      <c r="C8" s="56">
        <v>20</v>
      </c>
      <c r="D8" s="211">
        <v>12.8</v>
      </c>
      <c r="E8" s="25">
        <f>78/20</f>
        <v>3.9</v>
      </c>
      <c r="F8" s="12">
        <f>139/20</f>
        <v>6.95</v>
      </c>
      <c r="G8" s="216">
        <v>56.1</v>
      </c>
      <c r="H8" s="25">
        <f>9/20</f>
        <v>0.45</v>
      </c>
      <c r="I8" s="12">
        <f>36/20</f>
        <v>1.8</v>
      </c>
      <c r="J8" s="216">
        <v>25</v>
      </c>
      <c r="K8" s="385">
        <f>73/20</f>
        <v>3.65</v>
      </c>
      <c r="L8" s="12">
        <f>101/20</f>
        <v>5.05</v>
      </c>
      <c r="M8" s="374">
        <v>72.3</v>
      </c>
      <c r="N8" s="47">
        <v>3.1</v>
      </c>
      <c r="O8" s="12">
        <v>2.6</v>
      </c>
      <c r="P8" s="33">
        <v>5.7</v>
      </c>
      <c r="Q8" s="288">
        <v>1.9</v>
      </c>
      <c r="R8" s="56">
        <v>0.1</v>
      </c>
      <c r="S8" s="47">
        <v>2.2000000000000002</v>
      </c>
      <c r="T8" s="22">
        <v>1.3</v>
      </c>
      <c r="U8" s="25">
        <v>3.2</v>
      </c>
      <c r="V8" s="99" t="s">
        <v>28</v>
      </c>
      <c r="W8" s="286" t="s">
        <v>212</v>
      </c>
      <c r="X8" s="213">
        <v>14.3</v>
      </c>
    </row>
    <row r="9" spans="1:24" ht="18.75" customHeight="1">
      <c r="A9" s="94" t="s">
        <v>559</v>
      </c>
      <c r="B9" s="52" t="s">
        <v>33</v>
      </c>
      <c r="C9" s="57">
        <v>18</v>
      </c>
      <c r="D9" s="351">
        <v>15.9</v>
      </c>
      <c r="E9" s="26">
        <f>65/18</f>
        <v>3.6111111111111112</v>
      </c>
      <c r="F9" s="6">
        <f>111/18</f>
        <v>6.166666666666667</v>
      </c>
      <c r="G9" s="166">
        <v>58.6</v>
      </c>
      <c r="H9" s="26">
        <f>38/18</f>
        <v>2.1111111111111112</v>
      </c>
      <c r="I9" s="6">
        <f>119/18</f>
        <v>6.6111111111111107</v>
      </c>
      <c r="J9" s="167">
        <v>31.9</v>
      </c>
      <c r="K9" s="26">
        <f>43/18</f>
        <v>2.3888888888888888</v>
      </c>
      <c r="L9" s="6">
        <f>58/18</f>
        <v>3.2222222222222223</v>
      </c>
      <c r="M9" s="167">
        <v>74.099999999999994</v>
      </c>
      <c r="N9" s="26">
        <v>4</v>
      </c>
      <c r="O9" s="7">
        <v>0.7</v>
      </c>
      <c r="P9" s="27">
        <v>4.7</v>
      </c>
      <c r="Q9" s="287">
        <v>1.4</v>
      </c>
      <c r="R9" s="250">
        <v>0.2</v>
      </c>
      <c r="S9" s="49">
        <v>2.6</v>
      </c>
      <c r="T9" s="103">
        <v>1</v>
      </c>
      <c r="U9" s="49">
        <v>2.9</v>
      </c>
      <c r="V9" s="100" t="s">
        <v>28</v>
      </c>
      <c r="W9" s="287" t="s">
        <v>335</v>
      </c>
      <c r="X9" s="272">
        <v>11.9</v>
      </c>
    </row>
    <row r="10" spans="1:24" ht="18.75" customHeight="1">
      <c r="A10" s="127" t="s">
        <v>560</v>
      </c>
      <c r="B10" s="51" t="s">
        <v>33</v>
      </c>
      <c r="C10" s="56">
        <v>19</v>
      </c>
      <c r="D10" s="211">
        <v>10.8</v>
      </c>
      <c r="E10" s="25">
        <f>42/19</f>
        <v>2.2105263157894739</v>
      </c>
      <c r="F10" s="12">
        <f>99/19</f>
        <v>5.2105263157894735</v>
      </c>
      <c r="G10" s="165">
        <v>42.4</v>
      </c>
      <c r="H10" s="25">
        <f>36/19</f>
        <v>1.8947368421052631</v>
      </c>
      <c r="I10" s="12">
        <f>105/19</f>
        <v>5.5263157894736841</v>
      </c>
      <c r="J10" s="216">
        <v>34.299999999999997</v>
      </c>
      <c r="K10" s="25">
        <f>13/19</f>
        <v>0.68421052631578949</v>
      </c>
      <c r="L10" s="12">
        <f>31/19</f>
        <v>1.631578947368421</v>
      </c>
      <c r="M10" s="216">
        <v>41.9</v>
      </c>
      <c r="N10" s="25">
        <v>4.8</v>
      </c>
      <c r="O10" s="11">
        <v>0.8</v>
      </c>
      <c r="P10" s="33">
        <v>5.7</v>
      </c>
      <c r="Q10" s="286">
        <v>2.1</v>
      </c>
      <c r="R10" s="249">
        <v>0.1</v>
      </c>
      <c r="S10" s="47">
        <v>1.7</v>
      </c>
      <c r="T10" s="102">
        <v>1</v>
      </c>
      <c r="U10" s="47">
        <v>1.4</v>
      </c>
      <c r="V10" s="99" t="s">
        <v>28</v>
      </c>
      <c r="W10" s="286" t="s">
        <v>34</v>
      </c>
      <c r="X10" s="273">
        <v>10.199999999999999</v>
      </c>
    </row>
    <row r="11" spans="1:24" ht="18.75" customHeight="1">
      <c r="A11" s="94" t="s">
        <v>561</v>
      </c>
      <c r="B11" s="52" t="s">
        <v>27</v>
      </c>
      <c r="C11" s="57">
        <v>12</v>
      </c>
      <c r="D11" s="210">
        <v>11.2</v>
      </c>
      <c r="E11" s="26">
        <f>29/12</f>
        <v>2.4166666666666665</v>
      </c>
      <c r="F11" s="6">
        <f>54/12</f>
        <v>4.5</v>
      </c>
      <c r="G11" s="167">
        <v>53.7</v>
      </c>
      <c r="H11" s="26">
        <f>14/12</f>
        <v>1.1666666666666667</v>
      </c>
      <c r="I11" s="6">
        <f>60/12</f>
        <v>5</v>
      </c>
      <c r="J11" s="167">
        <v>23.3</v>
      </c>
      <c r="K11" s="26">
        <f>34/12</f>
        <v>2.8333333333333335</v>
      </c>
      <c r="L11" s="6">
        <f>45/12</f>
        <v>3.75</v>
      </c>
      <c r="M11" s="217">
        <v>75.599999999999994</v>
      </c>
      <c r="N11" s="49">
        <v>2.2999999999999998</v>
      </c>
      <c r="O11" s="7">
        <v>0.6</v>
      </c>
      <c r="P11" s="27">
        <v>2.8</v>
      </c>
      <c r="Q11" s="287">
        <v>1.6</v>
      </c>
      <c r="R11" s="250">
        <v>0.1</v>
      </c>
      <c r="S11" s="26">
        <v>1.9</v>
      </c>
      <c r="T11" s="23">
        <v>1.1000000000000001</v>
      </c>
      <c r="U11" s="49">
        <v>1.4</v>
      </c>
      <c r="V11" s="100" t="s">
        <v>28</v>
      </c>
      <c r="W11" s="287" t="s">
        <v>40</v>
      </c>
      <c r="X11" s="272">
        <v>8.9</v>
      </c>
    </row>
    <row r="12" spans="1:24" ht="18.75" customHeight="1">
      <c r="A12" s="127" t="s">
        <v>562</v>
      </c>
      <c r="B12" s="51" t="s">
        <v>27</v>
      </c>
      <c r="C12" s="56">
        <v>20</v>
      </c>
      <c r="D12" s="209">
        <v>3.7</v>
      </c>
      <c r="E12" s="25">
        <v>1</v>
      </c>
      <c r="F12" s="12">
        <f>46/20</f>
        <v>2.2999999999999998</v>
      </c>
      <c r="G12" s="216">
        <v>43.5</v>
      </c>
      <c r="H12" s="31">
        <v>0</v>
      </c>
      <c r="I12" s="14">
        <v>0</v>
      </c>
      <c r="J12" s="218">
        <v>0</v>
      </c>
      <c r="K12" s="25">
        <f>33/20</f>
        <v>1.65</v>
      </c>
      <c r="L12" s="12">
        <f>41/20</f>
        <v>2.0499999999999998</v>
      </c>
      <c r="M12" s="216">
        <v>80.5</v>
      </c>
      <c r="N12" s="25">
        <v>2</v>
      </c>
      <c r="O12" s="11">
        <v>0.9</v>
      </c>
      <c r="P12" s="33">
        <v>2.9</v>
      </c>
      <c r="Q12" s="286">
        <v>0.7</v>
      </c>
      <c r="R12" s="363">
        <v>0.4</v>
      </c>
      <c r="S12" s="25">
        <v>0.9</v>
      </c>
      <c r="T12" s="22">
        <v>0.7</v>
      </c>
      <c r="U12" s="25">
        <v>1.3</v>
      </c>
      <c r="V12" s="99" t="s">
        <v>28</v>
      </c>
      <c r="W12" s="286" t="s">
        <v>231</v>
      </c>
      <c r="X12" s="213">
        <v>5.6</v>
      </c>
    </row>
    <row r="13" spans="1:24" ht="18.75" customHeight="1">
      <c r="A13" s="94" t="s">
        <v>563</v>
      </c>
      <c r="B13" s="52" t="s">
        <v>27</v>
      </c>
      <c r="C13" s="57">
        <v>20</v>
      </c>
      <c r="D13" s="210">
        <v>4.4000000000000004</v>
      </c>
      <c r="E13" s="26">
        <f>31/20</f>
        <v>1.55</v>
      </c>
      <c r="F13" s="6">
        <f>71/20</f>
        <v>3.55</v>
      </c>
      <c r="G13" s="167">
        <v>43.7</v>
      </c>
      <c r="H13" s="26">
        <f>5/20</f>
        <v>0.25</v>
      </c>
      <c r="I13" s="6">
        <f>16/20</f>
        <v>0.8</v>
      </c>
      <c r="J13" s="167">
        <v>31.3</v>
      </c>
      <c r="K13" s="26">
        <f>11/20</f>
        <v>0.55000000000000004</v>
      </c>
      <c r="L13" s="6">
        <f>17/20</f>
        <v>0.85</v>
      </c>
      <c r="M13" s="167">
        <v>64.7</v>
      </c>
      <c r="N13" s="49">
        <v>3.1</v>
      </c>
      <c r="O13" s="6">
        <v>0.7</v>
      </c>
      <c r="P13" s="27">
        <v>3.8</v>
      </c>
      <c r="Q13" s="285">
        <v>0.4</v>
      </c>
      <c r="R13" s="97">
        <v>0.8</v>
      </c>
      <c r="S13" s="49">
        <v>0.7</v>
      </c>
      <c r="T13" s="23">
        <v>0.8</v>
      </c>
      <c r="U13" s="26">
        <v>2.2999999999999998</v>
      </c>
      <c r="V13" s="100" t="s">
        <v>28</v>
      </c>
      <c r="W13" s="287" t="s">
        <v>191</v>
      </c>
      <c r="X13" s="214">
        <v>5.0999999999999996</v>
      </c>
    </row>
    <row r="14" spans="1:24" ht="18.75" customHeight="1">
      <c r="A14" s="127" t="s">
        <v>564</v>
      </c>
      <c r="B14" s="51" t="s">
        <v>27</v>
      </c>
      <c r="C14" s="56">
        <v>22</v>
      </c>
      <c r="D14" s="211">
        <v>4.8</v>
      </c>
      <c r="E14" s="25">
        <f>38/22</f>
        <v>1.7272727272727273</v>
      </c>
      <c r="F14" s="12">
        <f>62/22</f>
        <v>2.8181818181818183</v>
      </c>
      <c r="G14" s="216">
        <v>61.3</v>
      </c>
      <c r="H14" s="25">
        <f>4/22</f>
        <v>0.18181818181818182</v>
      </c>
      <c r="I14" s="12">
        <f>15/22</f>
        <v>0.68181818181818177</v>
      </c>
      <c r="J14" s="216">
        <v>26.7</v>
      </c>
      <c r="K14" s="25">
        <f>17/22</f>
        <v>0.77272727272727271</v>
      </c>
      <c r="L14" s="12">
        <f>25/22</f>
        <v>1.1363636363636365</v>
      </c>
      <c r="M14" s="216">
        <v>68</v>
      </c>
      <c r="N14" s="25">
        <v>2.9</v>
      </c>
      <c r="O14" s="11">
        <v>1.1000000000000001</v>
      </c>
      <c r="P14" s="33">
        <v>2</v>
      </c>
      <c r="Q14" s="286">
        <v>0.5</v>
      </c>
      <c r="R14" s="56">
        <v>0.1</v>
      </c>
      <c r="S14" s="25">
        <v>0.5</v>
      </c>
      <c r="T14" s="102">
        <v>0.8</v>
      </c>
      <c r="U14" s="25">
        <v>1.9</v>
      </c>
      <c r="V14" s="99" t="s">
        <v>28</v>
      </c>
      <c r="W14" s="286" t="s">
        <v>219</v>
      </c>
      <c r="X14" s="273">
        <v>4.7</v>
      </c>
    </row>
    <row r="15" spans="1:24" ht="18.75" customHeight="1">
      <c r="A15" s="94" t="s">
        <v>565</v>
      </c>
      <c r="B15" s="52" t="s">
        <v>27</v>
      </c>
      <c r="C15" s="57">
        <v>8</v>
      </c>
      <c r="D15" s="351">
        <v>4.5</v>
      </c>
      <c r="E15" s="26">
        <f>12/8</f>
        <v>1.5</v>
      </c>
      <c r="F15" s="6">
        <f>24/8</f>
        <v>3</v>
      </c>
      <c r="G15" s="167">
        <v>50</v>
      </c>
      <c r="H15" s="32">
        <v>0</v>
      </c>
      <c r="I15" s="6">
        <f>9/8</f>
        <v>1.125</v>
      </c>
      <c r="J15" s="217">
        <v>0</v>
      </c>
      <c r="K15" s="26">
        <f>12/8</f>
        <v>1.5</v>
      </c>
      <c r="L15" s="6">
        <f>17/8</f>
        <v>2.125</v>
      </c>
      <c r="M15" s="167">
        <v>70.599999999999994</v>
      </c>
      <c r="N15" s="26">
        <v>1.1000000000000001</v>
      </c>
      <c r="O15" s="6">
        <v>0.5</v>
      </c>
      <c r="P15" s="27">
        <v>1.6</v>
      </c>
      <c r="Q15" s="285">
        <v>0.5</v>
      </c>
      <c r="R15" s="373">
        <v>0</v>
      </c>
      <c r="S15" s="26">
        <v>0.6</v>
      </c>
      <c r="T15" s="103">
        <v>0.6</v>
      </c>
      <c r="U15" s="26">
        <v>0.5</v>
      </c>
      <c r="V15" s="100" t="s">
        <v>28</v>
      </c>
      <c r="W15" s="287" t="s">
        <v>453</v>
      </c>
      <c r="X15" s="272">
        <v>4.3</v>
      </c>
    </row>
    <row r="16" spans="1:24" ht="18.75" customHeight="1">
      <c r="A16" s="127" t="s">
        <v>566</v>
      </c>
      <c r="B16" s="51" t="s">
        <v>27</v>
      </c>
      <c r="C16" s="56">
        <v>7</v>
      </c>
      <c r="D16" s="211">
        <v>4.0999999999999996</v>
      </c>
      <c r="E16" s="25">
        <v>1</v>
      </c>
      <c r="F16" s="12">
        <f>19/7</f>
        <v>2.7142857142857144</v>
      </c>
      <c r="G16" s="165">
        <v>36.799999999999997</v>
      </c>
      <c r="H16" s="25">
        <f>2/7</f>
        <v>0.2857142857142857</v>
      </c>
      <c r="I16" s="12">
        <f>9/7</f>
        <v>1.2857142857142858</v>
      </c>
      <c r="J16" s="216">
        <v>22.2</v>
      </c>
      <c r="K16" s="25">
        <f>9/7</f>
        <v>1.2857142857142858</v>
      </c>
      <c r="L16" s="12">
        <f>12/7</f>
        <v>1.7142857142857142</v>
      </c>
      <c r="M16" s="216">
        <v>75</v>
      </c>
      <c r="N16" s="25">
        <v>0.6</v>
      </c>
      <c r="O16" s="12">
        <v>0.3</v>
      </c>
      <c r="P16" s="33">
        <v>0.9</v>
      </c>
      <c r="Q16" s="288">
        <v>1</v>
      </c>
      <c r="R16" s="284">
        <v>0</v>
      </c>
      <c r="S16" s="47">
        <v>1.4</v>
      </c>
      <c r="T16" s="22">
        <v>0.7</v>
      </c>
      <c r="U16" s="25">
        <v>1</v>
      </c>
      <c r="V16" s="99" t="s">
        <v>28</v>
      </c>
      <c r="W16" s="286" t="s">
        <v>265</v>
      </c>
      <c r="X16" s="273">
        <v>2.6</v>
      </c>
    </row>
    <row r="17" spans="1:35" ht="18.75" customHeight="1">
      <c r="A17" s="94" t="s">
        <v>567</v>
      </c>
      <c r="B17" s="52" t="s">
        <v>59</v>
      </c>
      <c r="C17" s="57">
        <v>7</v>
      </c>
      <c r="D17" s="351">
        <v>3.7</v>
      </c>
      <c r="E17" s="26">
        <f>8/7</f>
        <v>1.1428571428571428</v>
      </c>
      <c r="F17" s="6">
        <f>21/7</f>
        <v>3</v>
      </c>
      <c r="G17" s="167">
        <v>38.1</v>
      </c>
      <c r="H17" s="26">
        <f>3/7</f>
        <v>0.42857142857142855</v>
      </c>
      <c r="I17" s="6">
        <v>2</v>
      </c>
      <c r="J17" s="167">
        <v>21.4</v>
      </c>
      <c r="K17" s="26">
        <f>1/7</f>
        <v>0.14285714285714285</v>
      </c>
      <c r="L17" s="6">
        <f>2/7</f>
        <v>0.2857142857142857</v>
      </c>
      <c r="M17" s="167">
        <v>50</v>
      </c>
      <c r="N17" s="26">
        <v>0.9</v>
      </c>
      <c r="O17" s="6">
        <v>0.6</v>
      </c>
      <c r="P17" s="27">
        <v>1.4</v>
      </c>
      <c r="Q17" s="382">
        <v>0</v>
      </c>
      <c r="R17" s="373">
        <v>0</v>
      </c>
      <c r="S17" s="26">
        <v>0.4</v>
      </c>
      <c r="T17" s="103">
        <v>0.6</v>
      </c>
      <c r="U17" s="26">
        <v>0.6</v>
      </c>
      <c r="V17" s="100" t="s">
        <v>28</v>
      </c>
      <c r="W17" s="287" t="s">
        <v>199</v>
      </c>
      <c r="X17" s="272">
        <v>1.9</v>
      </c>
    </row>
    <row r="18" spans="1:35" ht="18.75" customHeight="1">
      <c r="A18" s="127" t="s">
        <v>568</v>
      </c>
      <c r="B18" s="51" t="s">
        <v>284</v>
      </c>
      <c r="C18" s="56">
        <v>11</v>
      </c>
      <c r="D18" s="211">
        <v>2.2999999999999998</v>
      </c>
      <c r="E18" s="25">
        <f>2/11</f>
        <v>0.18181818181818182</v>
      </c>
      <c r="F18" s="12">
        <f>9/11</f>
        <v>0.81818181818181823</v>
      </c>
      <c r="G18" s="216">
        <v>22.2</v>
      </c>
      <c r="H18" s="25">
        <f>5/11</f>
        <v>0.45454545454545453</v>
      </c>
      <c r="I18" s="12">
        <f>13/11</f>
        <v>1.1818181818181819</v>
      </c>
      <c r="J18" s="216">
        <v>38.5</v>
      </c>
      <c r="K18" s="25">
        <f>6/11</f>
        <v>0.54545454545454541</v>
      </c>
      <c r="L18" s="12">
        <v>1</v>
      </c>
      <c r="M18" s="216">
        <v>54.5</v>
      </c>
      <c r="N18" s="25">
        <v>0.4</v>
      </c>
      <c r="O18" s="15">
        <v>0.7</v>
      </c>
      <c r="P18" s="33">
        <v>1.1000000000000001</v>
      </c>
      <c r="Q18" s="288">
        <v>0.5</v>
      </c>
      <c r="R18" s="284">
        <v>0</v>
      </c>
      <c r="S18" s="25">
        <v>0.6</v>
      </c>
      <c r="T18" s="102">
        <v>0.2</v>
      </c>
      <c r="U18" s="25">
        <v>0.5</v>
      </c>
      <c r="V18" s="99" t="s">
        <v>28</v>
      </c>
      <c r="W18" s="286" t="s">
        <v>569</v>
      </c>
      <c r="X18" s="273">
        <v>1.8</v>
      </c>
    </row>
    <row r="19" spans="1:35" ht="18.75" customHeight="1">
      <c r="A19" s="94" t="s">
        <v>570</v>
      </c>
      <c r="B19" s="52" t="s">
        <v>162</v>
      </c>
      <c r="C19" s="57">
        <v>15</v>
      </c>
      <c r="D19" s="210">
        <v>1.3</v>
      </c>
      <c r="E19" s="26">
        <f>4/15</f>
        <v>0.26666666666666666</v>
      </c>
      <c r="F19" s="6">
        <f>16/15</f>
        <v>1.0666666666666667</v>
      </c>
      <c r="G19" s="167">
        <v>25</v>
      </c>
      <c r="H19" s="32">
        <v>0</v>
      </c>
      <c r="I19" s="8">
        <v>0</v>
      </c>
      <c r="J19" s="217">
        <v>0</v>
      </c>
      <c r="K19" s="26">
        <f>11/15</f>
        <v>0.73333333333333328</v>
      </c>
      <c r="L19" s="6">
        <f>21/15</f>
        <v>1.4</v>
      </c>
      <c r="M19" s="167">
        <v>52.4</v>
      </c>
      <c r="N19" s="49">
        <v>0.4</v>
      </c>
      <c r="O19" s="6">
        <v>0.5</v>
      </c>
      <c r="P19" s="27">
        <v>0.9</v>
      </c>
      <c r="Q19" s="285">
        <v>0.2</v>
      </c>
      <c r="R19" s="57">
        <v>0</v>
      </c>
      <c r="S19" s="49">
        <v>0.2</v>
      </c>
      <c r="T19" s="103">
        <v>0.3</v>
      </c>
      <c r="U19" s="49">
        <v>0.5</v>
      </c>
      <c r="V19" s="100" t="s">
        <v>28</v>
      </c>
      <c r="W19" s="287" t="s">
        <v>352</v>
      </c>
      <c r="X19" s="272">
        <v>1.4</v>
      </c>
    </row>
    <row r="20" spans="1:35" ht="18.75" customHeight="1">
      <c r="A20" s="127" t="s">
        <v>571</v>
      </c>
      <c r="B20" s="51" t="s">
        <v>27</v>
      </c>
      <c r="C20" s="56">
        <v>9</v>
      </c>
      <c r="D20" s="211">
        <v>3.1</v>
      </c>
      <c r="E20" s="25">
        <f>5/9</f>
        <v>0.55555555555555558</v>
      </c>
      <c r="F20" s="12">
        <f>12/9</f>
        <v>1.3333333333333333</v>
      </c>
      <c r="G20" s="216">
        <v>41.7</v>
      </c>
      <c r="H20" s="25">
        <f>5/9</f>
        <v>0.55555555555555558</v>
      </c>
      <c r="I20" s="12">
        <f>13/9</f>
        <v>1.4444444444444444</v>
      </c>
      <c r="J20" s="216">
        <v>38.5</v>
      </c>
      <c r="K20" s="25">
        <f>3/9</f>
        <v>0.33333333333333331</v>
      </c>
      <c r="L20" s="12">
        <f>4/9</f>
        <v>0.44444444444444442</v>
      </c>
      <c r="M20" s="216">
        <v>75</v>
      </c>
      <c r="N20" s="25">
        <v>1</v>
      </c>
      <c r="O20" s="14">
        <v>0</v>
      </c>
      <c r="P20" s="33">
        <v>1</v>
      </c>
      <c r="Q20" s="288">
        <v>1.3</v>
      </c>
      <c r="R20" s="284">
        <v>0</v>
      </c>
      <c r="S20" s="25">
        <v>1.1000000000000001</v>
      </c>
      <c r="T20" s="102">
        <v>0.4</v>
      </c>
      <c r="U20" s="25">
        <v>2.4</v>
      </c>
      <c r="V20" s="99" t="s">
        <v>28</v>
      </c>
      <c r="W20" s="286" t="s">
        <v>91</v>
      </c>
      <c r="X20" s="273">
        <v>1.3</v>
      </c>
    </row>
    <row r="21" spans="1:35" ht="18.75" customHeight="1">
      <c r="A21" s="109" t="s">
        <v>572</v>
      </c>
      <c r="B21" s="253" t="s">
        <v>27</v>
      </c>
      <c r="C21" s="117">
        <v>11</v>
      </c>
      <c r="D21" s="395">
        <v>1.7</v>
      </c>
      <c r="E21" s="112">
        <f>3/11</f>
        <v>0.27272727272727271</v>
      </c>
      <c r="F21" s="113">
        <f>8/11</f>
        <v>0.72727272727272729</v>
      </c>
      <c r="G21" s="396">
        <v>37.5</v>
      </c>
      <c r="H21" s="112">
        <v>9.0909090909090912E-2</v>
      </c>
      <c r="I21" s="113">
        <f>9/11</f>
        <v>0.81818181818181823</v>
      </c>
      <c r="J21" s="330">
        <v>11.1</v>
      </c>
      <c r="K21" s="112">
        <f>10/11</f>
        <v>0.90909090909090906</v>
      </c>
      <c r="L21" s="113">
        <f>16/11</f>
        <v>1.4545454545454546</v>
      </c>
      <c r="M21" s="330">
        <v>62.5</v>
      </c>
      <c r="N21" s="118">
        <v>0.7</v>
      </c>
      <c r="O21" s="397">
        <v>0.2</v>
      </c>
      <c r="P21" s="255">
        <v>0.9</v>
      </c>
      <c r="Q21" s="398">
        <v>0.4</v>
      </c>
      <c r="R21" s="369">
        <v>0</v>
      </c>
      <c r="S21" s="118">
        <v>1.2</v>
      </c>
      <c r="T21" s="110">
        <v>0.4</v>
      </c>
      <c r="U21" s="118">
        <v>1.9</v>
      </c>
      <c r="V21" s="120" t="s">
        <v>28</v>
      </c>
      <c r="W21" s="398" t="s">
        <v>569</v>
      </c>
      <c r="X21" s="399">
        <v>0</v>
      </c>
    </row>
    <row r="22" spans="1:35" s="2" customFormat="1" ht="18.75" customHeight="1">
      <c r="A22" s="448" t="s">
        <v>573</v>
      </c>
      <c r="B22" s="449"/>
      <c r="C22" s="321">
        <v>22</v>
      </c>
      <c r="D22" s="361">
        <v>78.400000000000006</v>
      </c>
      <c r="E22" s="323">
        <f>424/22</f>
        <v>19.272727272727273</v>
      </c>
      <c r="F22" s="259">
        <f>851/22</f>
        <v>38.68181818181818</v>
      </c>
      <c r="G22" s="260">
        <v>49.8</v>
      </c>
      <c r="H22" s="323">
        <f>167/22</f>
        <v>7.5909090909090908</v>
      </c>
      <c r="I22" s="259">
        <f>558/22</f>
        <v>25.363636363636363</v>
      </c>
      <c r="J22" s="260">
        <v>29.9</v>
      </c>
      <c r="K22" s="323">
        <f>376/22</f>
        <v>17.09090909090909</v>
      </c>
      <c r="L22" s="259">
        <f>531/22</f>
        <v>24.136363636363637</v>
      </c>
      <c r="M22" s="260">
        <v>70.8</v>
      </c>
      <c r="N22" s="261">
        <v>22.2</v>
      </c>
      <c r="O22" s="262">
        <v>8.3000000000000007</v>
      </c>
      <c r="P22" s="263">
        <v>30.9</v>
      </c>
      <c r="Q22" s="362">
        <v>10.7</v>
      </c>
      <c r="R22" s="264">
        <v>1.6</v>
      </c>
      <c r="S22" s="323">
        <v>13.7</v>
      </c>
      <c r="T22" s="387">
        <v>9</v>
      </c>
      <c r="U22" s="323">
        <v>18.5</v>
      </c>
      <c r="V22" s="324"/>
      <c r="W22" s="400"/>
      <c r="X22" s="268">
        <v>72.599999999999994</v>
      </c>
      <c r="Y22"/>
      <c r="Z22"/>
    </row>
    <row r="23" spans="1:35" s="2" customFormat="1" ht="18.75" customHeight="1">
      <c r="A23" s="493" t="s">
        <v>62</v>
      </c>
      <c r="B23" s="519"/>
      <c r="C23" s="337">
        <v>22</v>
      </c>
      <c r="D23" s="355">
        <v>87.8</v>
      </c>
      <c r="E23" s="521"/>
      <c r="F23" s="495"/>
      <c r="G23" s="341">
        <v>58.3</v>
      </c>
      <c r="H23" s="523"/>
      <c r="I23" s="496"/>
      <c r="J23" s="364">
        <v>34.799999999999997</v>
      </c>
      <c r="K23" s="520"/>
      <c r="L23" s="496"/>
      <c r="M23" s="496"/>
      <c r="N23" s="496"/>
      <c r="O23" s="496"/>
      <c r="P23" s="496"/>
      <c r="Q23" s="496"/>
      <c r="R23" s="496"/>
      <c r="S23" s="496"/>
      <c r="T23" s="496"/>
      <c r="U23" s="496"/>
      <c r="V23" s="496"/>
      <c r="W23" s="496"/>
      <c r="X23" s="497"/>
      <c r="Y23"/>
      <c r="Z23"/>
    </row>
    <row r="24" spans="1:35" s="2" customFormat="1" ht="18.75" customHeight="1">
      <c r="A24" s="456" t="s">
        <v>574</v>
      </c>
      <c r="B24" s="456"/>
      <c r="C24" s="456"/>
      <c r="D24" s="456"/>
      <c r="E24" s="456"/>
      <c r="F24" s="456"/>
      <c r="G24" s="456"/>
      <c r="H24" s="456"/>
      <c r="I24" s="456"/>
      <c r="J24" s="456"/>
      <c r="K24" s="456"/>
      <c r="L24" s="456"/>
      <c r="M24" s="456"/>
      <c r="N24" s="456"/>
      <c r="O24" s="456"/>
      <c r="P24" s="456"/>
      <c r="Q24" s="456"/>
      <c r="R24" s="456"/>
      <c r="S24" s="456"/>
      <c r="T24" s="456"/>
      <c r="U24" s="456"/>
      <c r="V24" s="456"/>
      <c r="W24" s="456"/>
      <c r="X24" s="456"/>
      <c r="Y24"/>
      <c r="Z24"/>
    </row>
    <row r="25" spans="1:35" s="2" customFormat="1" ht="18.75" customHeight="1">
      <c r="A25" s="453" t="s">
        <v>575</v>
      </c>
      <c r="B25" s="453"/>
      <c r="C25" s="453"/>
      <c r="D25" s="453"/>
      <c r="E25" s="453"/>
      <c r="F25" s="453"/>
      <c r="G25" s="453"/>
      <c r="H25" s="453"/>
      <c r="I25" s="453"/>
      <c r="J25" s="453"/>
      <c r="K25" s="453"/>
      <c r="L25" s="453"/>
      <c r="M25" s="453"/>
      <c r="N25" s="453"/>
      <c r="O25" s="453"/>
      <c r="P25" s="453"/>
      <c r="Q25" s="453"/>
      <c r="R25" s="453"/>
      <c r="S25" s="453"/>
      <c r="T25" s="453"/>
      <c r="U25" s="453"/>
      <c r="V25" s="453"/>
      <c r="W25" s="453"/>
      <c r="X25" s="453"/>
      <c r="Y25"/>
    </row>
    <row r="26" spans="1:35" s="2" customFormat="1" ht="18.75" customHeight="1">
      <c r="A26" s="433"/>
      <c r="B26" s="433"/>
      <c r="C26" s="433"/>
      <c r="D26" s="433"/>
      <c r="E26" s="433"/>
      <c r="F26" s="433"/>
      <c r="G26" s="433"/>
      <c r="H26" s="433"/>
      <c r="I26" s="433"/>
      <c r="J26" s="433"/>
      <c r="K26" s="433"/>
      <c r="L26" s="433"/>
      <c r="M26" s="433"/>
      <c r="N26" s="433"/>
      <c r="O26" s="433"/>
      <c r="P26" s="433"/>
      <c r="Q26" s="433"/>
      <c r="R26" s="433"/>
      <c r="S26" s="433"/>
      <c r="T26" s="433"/>
      <c r="U26" s="433"/>
      <c r="V26" s="433"/>
      <c r="W26" s="433"/>
      <c r="X26" s="433"/>
      <c r="Y26"/>
      <c r="AI26" s="3"/>
    </row>
  </sheetData>
  <mergeCells count="26">
    <mergeCell ref="A26:X26"/>
    <mergeCell ref="B5:B6"/>
    <mergeCell ref="A22:B22"/>
    <mergeCell ref="N5:P5"/>
    <mergeCell ref="H5:J5"/>
    <mergeCell ref="K5:M5"/>
    <mergeCell ref="S5:T5"/>
    <mergeCell ref="A25:X25"/>
    <mergeCell ref="A24:X24"/>
    <mergeCell ref="D5:D6"/>
    <mergeCell ref="E5:G5"/>
    <mergeCell ref="W5:W6"/>
    <mergeCell ref="X5:X6"/>
    <mergeCell ref="R5:R6"/>
    <mergeCell ref="U5:V5"/>
    <mergeCell ref="Q5:Q6"/>
    <mergeCell ref="K23:X23"/>
    <mergeCell ref="H23:I23"/>
    <mergeCell ref="E23:F23"/>
    <mergeCell ref="B3:S4"/>
    <mergeCell ref="A23:B23"/>
    <mergeCell ref="A5:A6"/>
    <mergeCell ref="C5:C6"/>
    <mergeCell ref="A1:A4"/>
    <mergeCell ref="B1:S2"/>
    <mergeCell ref="T1:X4"/>
  </mergeCells>
  <pageMargins left="0.25" right="0.25" top="0.75" bottom="0.75" header="0.3" footer="0.3"/>
  <pageSetup paperSize="5" orientation="landscape" r:id="rId1"/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002060"/>
  </sheetPr>
  <dimension ref="A1:AI24"/>
  <sheetViews>
    <sheetView tabSelected="1" topLeftCell="A8" zoomScale="98" zoomScaleNormal="98" workbookViewId="0">
      <selection activeCell="A19" sqref="A19:B19"/>
    </sheetView>
  </sheetViews>
  <sheetFormatPr defaultColWidth="9.140625" defaultRowHeight="15"/>
  <cols>
    <col min="1" max="1" width="25.140625" customWidth="1"/>
    <col min="2" max="2" width="7.28515625" customWidth="1"/>
    <col min="3" max="3" width="5.7109375" style="1" customWidth="1"/>
    <col min="4" max="4" width="6.140625" style="1" customWidth="1"/>
    <col min="5" max="23" width="5.7109375" style="1" customWidth="1"/>
    <col min="24" max="24" width="6.140625" style="1" customWidth="1"/>
    <col min="25" max="255" width="11.42578125" customWidth="1"/>
  </cols>
  <sheetData>
    <row r="1" spans="1:24" ht="14.25" customHeight="1">
      <c r="A1" s="554"/>
      <c r="B1" s="421" t="s">
        <v>576</v>
      </c>
      <c r="C1" s="421"/>
      <c r="D1" s="421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1"/>
      <c r="Q1" s="421"/>
      <c r="R1" s="421"/>
      <c r="S1" s="421"/>
      <c r="T1" s="409"/>
      <c r="U1" s="409"/>
      <c r="V1" s="409"/>
      <c r="W1" s="409"/>
      <c r="X1" s="410"/>
    </row>
    <row r="2" spans="1:24" ht="14.25" customHeight="1">
      <c r="A2" s="555"/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11"/>
      <c r="U2" s="411"/>
      <c r="V2" s="411"/>
      <c r="W2" s="411"/>
      <c r="X2" s="412"/>
    </row>
    <row r="3" spans="1:24" ht="15" customHeight="1">
      <c r="A3" s="555"/>
      <c r="B3" s="556" t="s">
        <v>577</v>
      </c>
      <c r="C3" s="556"/>
      <c r="D3" s="556"/>
      <c r="E3" s="556"/>
      <c r="F3" s="556"/>
      <c r="G3" s="556"/>
      <c r="H3" s="556"/>
      <c r="I3" s="556"/>
      <c r="J3" s="556"/>
      <c r="K3" s="556"/>
      <c r="L3" s="556"/>
      <c r="M3" s="556"/>
      <c r="N3" s="556"/>
      <c r="O3" s="556"/>
      <c r="P3" s="556"/>
      <c r="Q3" s="556"/>
      <c r="R3" s="556"/>
      <c r="S3" s="556"/>
      <c r="T3" s="411"/>
      <c r="U3" s="411"/>
      <c r="V3" s="411"/>
      <c r="W3" s="411"/>
      <c r="X3" s="412"/>
    </row>
    <row r="4" spans="1:24" ht="15.75" customHeight="1">
      <c r="A4" s="555"/>
      <c r="B4" s="556"/>
      <c r="C4" s="556"/>
      <c r="D4" s="556"/>
      <c r="E4" s="556"/>
      <c r="F4" s="556"/>
      <c r="G4" s="556"/>
      <c r="H4" s="556"/>
      <c r="I4" s="556"/>
      <c r="J4" s="556"/>
      <c r="K4" s="556"/>
      <c r="L4" s="556"/>
      <c r="M4" s="556"/>
      <c r="N4" s="556"/>
      <c r="O4" s="556"/>
      <c r="P4" s="556"/>
      <c r="Q4" s="556"/>
      <c r="R4" s="556"/>
      <c r="S4" s="556"/>
      <c r="T4" s="411"/>
      <c r="U4" s="411"/>
      <c r="V4" s="411"/>
      <c r="W4" s="411"/>
      <c r="X4" s="412"/>
    </row>
    <row r="5" spans="1:24" ht="15" customHeight="1">
      <c r="A5" s="413" t="s">
        <v>2</v>
      </c>
      <c r="B5" s="430" t="s">
        <v>3</v>
      </c>
      <c r="C5" s="415" t="s">
        <v>4</v>
      </c>
      <c r="D5" s="417" t="s">
        <v>5</v>
      </c>
      <c r="E5" s="426" t="s">
        <v>6</v>
      </c>
      <c r="F5" s="435"/>
      <c r="G5" s="430"/>
      <c r="H5" s="434" t="s">
        <v>7</v>
      </c>
      <c r="I5" s="435"/>
      <c r="J5" s="430"/>
      <c r="K5" s="434" t="s">
        <v>8</v>
      </c>
      <c r="L5" s="435"/>
      <c r="M5" s="430"/>
      <c r="N5" s="548" t="s">
        <v>9</v>
      </c>
      <c r="O5" s="439"/>
      <c r="P5" s="429"/>
      <c r="Q5" s="419" t="s">
        <v>10</v>
      </c>
      <c r="R5" s="419" t="s">
        <v>11</v>
      </c>
      <c r="S5" s="434" t="s">
        <v>12</v>
      </c>
      <c r="T5" s="430"/>
      <c r="U5" s="548" t="s">
        <v>13</v>
      </c>
      <c r="V5" s="429"/>
      <c r="W5" s="424" t="s">
        <v>14</v>
      </c>
      <c r="X5" s="419" t="s">
        <v>15</v>
      </c>
    </row>
    <row r="6" spans="1:24" ht="15" customHeight="1">
      <c r="A6" s="414"/>
      <c r="B6" s="431"/>
      <c r="C6" s="416"/>
      <c r="D6" s="418"/>
      <c r="E6" s="133" t="s">
        <v>16</v>
      </c>
      <c r="F6" s="134" t="s">
        <v>17</v>
      </c>
      <c r="G6" s="132" t="s">
        <v>18</v>
      </c>
      <c r="H6" s="135" t="s">
        <v>16</v>
      </c>
      <c r="I6" s="134" t="s">
        <v>17</v>
      </c>
      <c r="J6" s="132" t="s">
        <v>18</v>
      </c>
      <c r="K6" s="135" t="s">
        <v>16</v>
      </c>
      <c r="L6" s="134" t="s">
        <v>17</v>
      </c>
      <c r="M6" s="132" t="s">
        <v>18</v>
      </c>
      <c r="N6" s="140" t="s">
        <v>19</v>
      </c>
      <c r="O6" s="141" t="s">
        <v>20</v>
      </c>
      <c r="P6" s="146" t="s">
        <v>21</v>
      </c>
      <c r="Q6" s="420"/>
      <c r="R6" s="420"/>
      <c r="S6" s="135" t="s">
        <v>22</v>
      </c>
      <c r="T6" s="132" t="s">
        <v>23</v>
      </c>
      <c r="U6" s="140" t="s">
        <v>24</v>
      </c>
      <c r="V6" s="146" t="s">
        <v>25</v>
      </c>
      <c r="W6" s="477"/>
      <c r="X6" s="420"/>
    </row>
    <row r="7" spans="1:24" ht="18.75" customHeight="1">
      <c r="A7" s="94" t="s">
        <v>578</v>
      </c>
      <c r="B7" s="52" t="s">
        <v>33</v>
      </c>
      <c r="C7" s="57">
        <v>12</v>
      </c>
      <c r="D7" s="351">
        <v>18.899999999999999</v>
      </c>
      <c r="E7" s="26">
        <f>70/12</f>
        <v>5.833333333333333</v>
      </c>
      <c r="F7" s="6">
        <f>124/12</f>
        <v>10.333333333333334</v>
      </c>
      <c r="G7" s="177">
        <v>56.5</v>
      </c>
      <c r="H7" s="30">
        <f>13/12</f>
        <v>1.0833333333333333</v>
      </c>
      <c r="I7" s="6">
        <f>31/12</f>
        <v>2.5833333333333335</v>
      </c>
      <c r="J7" s="177">
        <v>41.9</v>
      </c>
      <c r="K7" s="30">
        <f>48/12</f>
        <v>4</v>
      </c>
      <c r="L7" s="6">
        <f>78/12</f>
        <v>6.5</v>
      </c>
      <c r="M7" s="175">
        <v>70.599999999999994</v>
      </c>
      <c r="N7" s="30">
        <v>7.8</v>
      </c>
      <c r="O7" s="7">
        <v>2.1</v>
      </c>
      <c r="P7" s="27">
        <v>9.8000000000000007</v>
      </c>
      <c r="Q7" s="287">
        <v>2.2999999999999998</v>
      </c>
      <c r="R7" s="287">
        <v>0.5</v>
      </c>
      <c r="S7" s="30">
        <v>3.2</v>
      </c>
      <c r="T7" s="50">
        <v>1.3</v>
      </c>
      <c r="U7" s="30">
        <v>3.3</v>
      </c>
      <c r="V7" s="100" t="s">
        <v>28</v>
      </c>
      <c r="W7" s="287" t="s">
        <v>525</v>
      </c>
      <c r="X7" s="272">
        <v>23.2</v>
      </c>
    </row>
    <row r="8" spans="1:24" ht="18.75" customHeight="1">
      <c r="A8" s="127" t="s">
        <v>579</v>
      </c>
      <c r="B8" s="51" t="s">
        <v>33</v>
      </c>
      <c r="C8" s="56">
        <v>7</v>
      </c>
      <c r="D8" s="209">
        <v>17.899999999999999</v>
      </c>
      <c r="E8" s="25">
        <f>25/7</f>
        <v>3.5714285714285716</v>
      </c>
      <c r="F8" s="12">
        <f>44/7</f>
        <v>6.2857142857142856</v>
      </c>
      <c r="G8" s="176">
        <v>56.8</v>
      </c>
      <c r="H8" s="29">
        <f>15/7</f>
        <v>2.1428571428571428</v>
      </c>
      <c r="I8" s="12">
        <f>46/7</f>
        <v>6.5714285714285712</v>
      </c>
      <c r="J8" s="174">
        <v>32.6</v>
      </c>
      <c r="K8" s="29">
        <f>30/7</f>
        <v>4.2857142857142856</v>
      </c>
      <c r="L8" s="12">
        <f>44/7</f>
        <v>6.2857142857142856</v>
      </c>
      <c r="M8" s="174">
        <v>68.2</v>
      </c>
      <c r="N8" s="42">
        <v>2.9</v>
      </c>
      <c r="O8" s="12">
        <v>0.9</v>
      </c>
      <c r="P8" s="33">
        <v>3.7</v>
      </c>
      <c r="Q8" s="288">
        <v>4.7</v>
      </c>
      <c r="R8" s="286">
        <v>0.1</v>
      </c>
      <c r="S8" s="29">
        <v>3</v>
      </c>
      <c r="T8" s="48">
        <v>2.1</v>
      </c>
      <c r="U8" s="42">
        <v>2.9</v>
      </c>
      <c r="V8" s="99" t="s">
        <v>28</v>
      </c>
      <c r="W8" s="286" t="s">
        <v>580</v>
      </c>
      <c r="X8" s="273">
        <v>18.3</v>
      </c>
    </row>
    <row r="9" spans="1:24" ht="18.75" customHeight="1">
      <c r="A9" s="94" t="s">
        <v>581</v>
      </c>
      <c r="B9" s="52" t="s">
        <v>33</v>
      </c>
      <c r="C9" s="57">
        <v>5</v>
      </c>
      <c r="D9" s="351">
        <v>20.8</v>
      </c>
      <c r="E9" s="26">
        <f>29/5</f>
        <v>5.8</v>
      </c>
      <c r="F9" s="6">
        <f>48/5</f>
        <v>9.6</v>
      </c>
      <c r="G9" s="175">
        <v>60.4</v>
      </c>
      <c r="H9" s="30">
        <f>10/5</f>
        <v>2</v>
      </c>
      <c r="I9" s="6">
        <f>29/5</f>
        <v>5.8</v>
      </c>
      <c r="J9" s="177">
        <v>34.5</v>
      </c>
      <c r="K9" s="30">
        <f>16/5</f>
        <v>3.2</v>
      </c>
      <c r="L9" s="6">
        <f>19/5</f>
        <v>3.8</v>
      </c>
      <c r="M9" s="177">
        <v>84.2</v>
      </c>
      <c r="N9" s="43">
        <v>1.8</v>
      </c>
      <c r="O9" s="10">
        <v>0.8</v>
      </c>
      <c r="P9" s="27">
        <v>2.6</v>
      </c>
      <c r="Q9" s="287">
        <v>2.2000000000000002</v>
      </c>
      <c r="R9" s="381">
        <v>0</v>
      </c>
      <c r="S9" s="43">
        <v>1.4</v>
      </c>
      <c r="T9" s="52">
        <v>1.2</v>
      </c>
      <c r="U9" s="43">
        <v>2.2000000000000002</v>
      </c>
      <c r="V9" s="100" t="s">
        <v>28</v>
      </c>
      <c r="W9" s="287" t="s">
        <v>172</v>
      </c>
      <c r="X9" s="272">
        <v>17.2</v>
      </c>
    </row>
    <row r="10" spans="1:24" ht="18.75" customHeight="1">
      <c r="A10" s="127" t="s">
        <v>582</v>
      </c>
      <c r="B10" s="51" t="s">
        <v>33</v>
      </c>
      <c r="C10" s="56">
        <v>12</v>
      </c>
      <c r="D10" s="211">
        <v>14.5</v>
      </c>
      <c r="E10" s="25">
        <f>62/12</f>
        <v>5.166666666666667</v>
      </c>
      <c r="F10" s="12">
        <f>118/12</f>
        <v>9.8333333333333339</v>
      </c>
      <c r="G10" s="174">
        <v>52.5</v>
      </c>
      <c r="H10" s="283">
        <v>0</v>
      </c>
      <c r="I10" s="14">
        <v>0</v>
      </c>
      <c r="J10" s="236">
        <v>0</v>
      </c>
      <c r="K10" s="29">
        <f>50/12</f>
        <v>4.166666666666667</v>
      </c>
      <c r="L10" s="12">
        <f>83/12</f>
        <v>6.916666666666667</v>
      </c>
      <c r="M10" s="174">
        <v>60.2</v>
      </c>
      <c r="N10" s="29">
        <v>3.8</v>
      </c>
      <c r="O10" s="12">
        <v>2</v>
      </c>
      <c r="P10" s="33">
        <v>5.8</v>
      </c>
      <c r="Q10" s="354">
        <v>1.1000000000000001</v>
      </c>
      <c r="R10" s="286">
        <v>0.6</v>
      </c>
      <c r="S10" s="29">
        <v>1.8</v>
      </c>
      <c r="T10" s="51">
        <v>0.6</v>
      </c>
      <c r="U10" s="29">
        <v>3</v>
      </c>
      <c r="V10" s="99" t="s">
        <v>28</v>
      </c>
      <c r="W10" s="286" t="s">
        <v>210</v>
      </c>
      <c r="X10" s="273">
        <v>16</v>
      </c>
    </row>
    <row r="11" spans="1:24" ht="18.75" customHeight="1">
      <c r="A11" s="94" t="s">
        <v>583</v>
      </c>
      <c r="B11" s="52" t="s">
        <v>27</v>
      </c>
      <c r="C11" s="57">
        <v>4</v>
      </c>
      <c r="D11" s="351">
        <v>10.5</v>
      </c>
      <c r="E11" s="26">
        <f>13/4</f>
        <v>3.25</v>
      </c>
      <c r="F11" s="6">
        <f>21/4</f>
        <v>5.25</v>
      </c>
      <c r="G11" s="177">
        <v>61.9</v>
      </c>
      <c r="H11" s="30">
        <f>2/4</f>
        <v>0.5</v>
      </c>
      <c r="I11" s="6">
        <f>11/4</f>
        <v>2.75</v>
      </c>
      <c r="J11" s="177">
        <v>18.2</v>
      </c>
      <c r="K11" s="30">
        <f>10/4</f>
        <v>2.5</v>
      </c>
      <c r="L11" s="6">
        <f>12/4</f>
        <v>3</v>
      </c>
      <c r="M11" s="177">
        <v>83.3</v>
      </c>
      <c r="N11" s="30">
        <v>2.5</v>
      </c>
      <c r="O11" s="10">
        <v>0.8</v>
      </c>
      <c r="P11" s="27">
        <v>3.3</v>
      </c>
      <c r="Q11" s="285">
        <v>2.2999999999999998</v>
      </c>
      <c r="R11" s="285">
        <v>0.3</v>
      </c>
      <c r="S11" s="30">
        <v>1.5</v>
      </c>
      <c r="T11" s="50">
        <v>0.5</v>
      </c>
      <c r="U11" s="30">
        <v>2.8</v>
      </c>
      <c r="V11" s="100" t="s">
        <v>28</v>
      </c>
      <c r="W11" s="287" t="s">
        <v>365</v>
      </c>
      <c r="X11" s="272">
        <v>11.5</v>
      </c>
    </row>
    <row r="12" spans="1:24" ht="18.75" customHeight="1">
      <c r="A12" s="127" t="s">
        <v>584</v>
      </c>
      <c r="B12" s="51" t="s">
        <v>27</v>
      </c>
      <c r="C12" s="56">
        <v>12</v>
      </c>
      <c r="D12" s="209">
        <v>11.1</v>
      </c>
      <c r="E12" s="25">
        <f>37/12</f>
        <v>3.0833333333333335</v>
      </c>
      <c r="F12" s="12">
        <f>63/12</f>
        <v>5.25</v>
      </c>
      <c r="G12" s="174">
        <v>58.7</v>
      </c>
      <c r="H12" s="29">
        <f>15/12</f>
        <v>1.25</v>
      </c>
      <c r="I12" s="12">
        <f>44/12</f>
        <v>3.6666666666666665</v>
      </c>
      <c r="J12" s="174">
        <v>34.1</v>
      </c>
      <c r="K12" s="29">
        <f>14/12</f>
        <v>1.1666666666666667</v>
      </c>
      <c r="L12" s="12">
        <f>17/12</f>
        <v>1.4166666666666667</v>
      </c>
      <c r="M12" s="174">
        <v>82.4</v>
      </c>
      <c r="N12" s="29">
        <v>1.8</v>
      </c>
      <c r="O12" s="11">
        <v>0.8</v>
      </c>
      <c r="P12" s="33">
        <v>2.7</v>
      </c>
      <c r="Q12" s="286">
        <v>1.3</v>
      </c>
      <c r="R12" s="354">
        <v>0</v>
      </c>
      <c r="S12" s="29">
        <v>1.2</v>
      </c>
      <c r="T12" s="51">
        <v>0.8</v>
      </c>
      <c r="U12" s="29">
        <v>1.9</v>
      </c>
      <c r="V12" s="99" t="s">
        <v>28</v>
      </c>
      <c r="W12" s="286" t="s">
        <v>585</v>
      </c>
      <c r="X12" s="213">
        <v>8.6</v>
      </c>
    </row>
    <row r="13" spans="1:24" ht="18.75" customHeight="1">
      <c r="A13" s="94" t="s">
        <v>586</v>
      </c>
      <c r="B13" s="52" t="s">
        <v>27</v>
      </c>
      <c r="C13" s="57">
        <v>12</v>
      </c>
      <c r="D13" s="351">
        <v>5.8</v>
      </c>
      <c r="E13" s="26">
        <f>13/12</f>
        <v>1.0833333333333333</v>
      </c>
      <c r="F13" s="6">
        <f>40/12</f>
        <v>3.3333333333333335</v>
      </c>
      <c r="G13" s="177">
        <v>32.5</v>
      </c>
      <c r="H13" s="30">
        <f>9/12</f>
        <v>0.75</v>
      </c>
      <c r="I13" s="6">
        <f>35/12</f>
        <v>2.9166666666666665</v>
      </c>
      <c r="J13" s="177">
        <v>25.7</v>
      </c>
      <c r="K13" s="338">
        <f>16/12</f>
        <v>1.3333333333333333</v>
      </c>
      <c r="L13" s="6">
        <f>22/12</f>
        <v>1.8333333333333333</v>
      </c>
      <c r="M13" s="352">
        <v>72.7</v>
      </c>
      <c r="N13" s="43">
        <v>2.2999999999999998</v>
      </c>
      <c r="O13" s="6">
        <v>0.8</v>
      </c>
      <c r="P13" s="27">
        <v>3</v>
      </c>
      <c r="Q13" s="285">
        <v>0.8</v>
      </c>
      <c r="R13" s="287">
        <v>0</v>
      </c>
      <c r="S13" s="43">
        <v>1.8</v>
      </c>
      <c r="T13" s="52">
        <v>1.9</v>
      </c>
      <c r="U13" s="30">
        <v>2.7</v>
      </c>
      <c r="V13" s="100" t="s">
        <v>28</v>
      </c>
      <c r="W13" s="287" t="s">
        <v>421</v>
      </c>
      <c r="X13" s="214">
        <v>3.9</v>
      </c>
    </row>
    <row r="14" spans="1:24" ht="18.75" customHeight="1">
      <c r="A14" s="127" t="s">
        <v>587</v>
      </c>
      <c r="B14" s="51" t="s">
        <v>27</v>
      </c>
      <c r="C14" s="56">
        <v>11</v>
      </c>
      <c r="D14" s="209">
        <v>3.5</v>
      </c>
      <c r="E14" s="25">
        <f>7/11</f>
        <v>0.63636363636363635</v>
      </c>
      <c r="F14" s="12">
        <f>12/11</f>
        <v>1.0909090909090908</v>
      </c>
      <c r="G14" s="174">
        <v>58.3</v>
      </c>
      <c r="H14" s="29">
        <f>8/11</f>
        <v>0.72727272727272729</v>
      </c>
      <c r="I14" s="12">
        <f>18/11</f>
        <v>1.6363636363636365</v>
      </c>
      <c r="J14" s="174">
        <v>44.4</v>
      </c>
      <c r="K14" s="29">
        <f>1/11</f>
        <v>9.0909090909090912E-2</v>
      </c>
      <c r="L14" s="12">
        <f>3/11</f>
        <v>0.27272727272727271</v>
      </c>
      <c r="M14" s="174">
        <v>33.299999999999997</v>
      </c>
      <c r="N14" s="42">
        <v>1.5</v>
      </c>
      <c r="O14" s="12">
        <v>0.4</v>
      </c>
      <c r="P14" s="33">
        <v>1.9</v>
      </c>
      <c r="Q14" s="288">
        <v>0.7</v>
      </c>
      <c r="R14" s="354">
        <v>0.4</v>
      </c>
      <c r="S14" s="42">
        <v>0.4</v>
      </c>
      <c r="T14" s="51">
        <v>0.2</v>
      </c>
      <c r="U14" s="29">
        <v>1.9</v>
      </c>
      <c r="V14" s="99" t="s">
        <v>28</v>
      </c>
      <c r="W14" s="286" t="s">
        <v>588</v>
      </c>
      <c r="X14" s="213">
        <v>3.4</v>
      </c>
    </row>
    <row r="15" spans="1:24" ht="18.75" customHeight="1">
      <c r="A15" s="94" t="s">
        <v>589</v>
      </c>
      <c r="B15" s="52" t="s">
        <v>27</v>
      </c>
      <c r="C15" s="57">
        <v>11</v>
      </c>
      <c r="D15" s="351">
        <v>3</v>
      </c>
      <c r="E15" s="26">
        <f>8/11</f>
        <v>0.72727272727272729</v>
      </c>
      <c r="F15" s="6">
        <f>14/11</f>
        <v>1.2727272727272727</v>
      </c>
      <c r="G15" s="175">
        <v>57.1</v>
      </c>
      <c r="H15" s="30">
        <f>3/11</f>
        <v>0.27272727272727271</v>
      </c>
      <c r="I15" s="6">
        <f>15/11</f>
        <v>1.3636363636363635</v>
      </c>
      <c r="J15" s="177">
        <v>20</v>
      </c>
      <c r="K15" s="30">
        <f>8/11</f>
        <v>0.72727272727272729</v>
      </c>
      <c r="L15" s="6">
        <f>10/11</f>
        <v>0.90909090909090906</v>
      </c>
      <c r="M15" s="177">
        <v>80</v>
      </c>
      <c r="N15" s="30">
        <v>1.3</v>
      </c>
      <c r="O15" s="7">
        <v>0.4</v>
      </c>
      <c r="P15" s="27">
        <v>1.6</v>
      </c>
      <c r="Q15" s="287">
        <v>1.8</v>
      </c>
      <c r="R15" s="382">
        <v>0</v>
      </c>
      <c r="S15" s="43">
        <v>1.2</v>
      </c>
      <c r="T15" s="52">
        <v>0.7</v>
      </c>
      <c r="U15" s="43">
        <v>1.9</v>
      </c>
      <c r="V15" s="100" t="s">
        <v>28</v>
      </c>
      <c r="W15" s="287" t="s">
        <v>214</v>
      </c>
      <c r="X15" s="272">
        <v>3.3</v>
      </c>
    </row>
    <row r="16" spans="1:24" ht="18.75" customHeight="1">
      <c r="A16" s="127" t="s">
        <v>590</v>
      </c>
      <c r="B16" s="51" t="s">
        <v>27</v>
      </c>
      <c r="C16" s="56">
        <v>11</v>
      </c>
      <c r="D16" s="211">
        <v>2.5</v>
      </c>
      <c r="E16" s="25">
        <f>10/11</f>
        <v>0.90909090909090906</v>
      </c>
      <c r="F16" s="12">
        <f>21/11</f>
        <v>1.9090909090909092</v>
      </c>
      <c r="G16" s="176">
        <v>47.6</v>
      </c>
      <c r="H16" s="283">
        <v>0</v>
      </c>
      <c r="I16" s="12">
        <f>1/11</f>
        <v>9.0909090909090912E-2</v>
      </c>
      <c r="J16" s="236">
        <v>0</v>
      </c>
      <c r="K16" s="29">
        <f>8/11</f>
        <v>0.72727272727272729</v>
      </c>
      <c r="L16" s="12">
        <v>1</v>
      </c>
      <c r="M16" s="174">
        <v>72.7</v>
      </c>
      <c r="N16" s="29">
        <v>2.2999999999999998</v>
      </c>
      <c r="O16" s="11">
        <v>0.2</v>
      </c>
      <c r="P16" s="33">
        <v>2.5</v>
      </c>
      <c r="Q16" s="286">
        <v>0.3</v>
      </c>
      <c r="R16" s="288">
        <v>0.3</v>
      </c>
      <c r="S16" s="42">
        <v>1.2</v>
      </c>
      <c r="T16" s="48">
        <v>0.1</v>
      </c>
      <c r="U16" s="42">
        <v>3.5</v>
      </c>
      <c r="V16" s="99" t="s">
        <v>28</v>
      </c>
      <c r="W16" s="286" t="s">
        <v>591</v>
      </c>
      <c r="X16" s="273">
        <v>0.5</v>
      </c>
    </row>
    <row r="17" spans="1:35" ht="18.75" customHeight="1">
      <c r="A17" s="94" t="s">
        <v>592</v>
      </c>
      <c r="B17" s="52" t="s">
        <v>284</v>
      </c>
      <c r="C17" s="57">
        <v>4</v>
      </c>
      <c r="D17" s="210">
        <v>1.8</v>
      </c>
      <c r="E17" s="26">
        <v>0.5</v>
      </c>
      <c r="F17" s="6">
        <v>1</v>
      </c>
      <c r="G17" s="177">
        <v>50</v>
      </c>
      <c r="H17" s="30">
        <v>0.25</v>
      </c>
      <c r="I17" s="6">
        <f>3/4</f>
        <v>0.75</v>
      </c>
      <c r="J17" s="177" t="s">
        <v>593</v>
      </c>
      <c r="K17" s="401">
        <v>0</v>
      </c>
      <c r="L17" s="8">
        <v>0</v>
      </c>
      <c r="M17" s="237">
        <v>0</v>
      </c>
      <c r="N17" s="43">
        <v>0.3</v>
      </c>
      <c r="O17" s="7">
        <v>0</v>
      </c>
      <c r="P17" s="27">
        <v>0.3</v>
      </c>
      <c r="Q17" s="287">
        <v>0.3</v>
      </c>
      <c r="R17" s="382">
        <v>0</v>
      </c>
      <c r="S17" s="30">
        <v>0</v>
      </c>
      <c r="T17" s="52">
        <v>0</v>
      </c>
      <c r="U17" s="43">
        <v>0.8</v>
      </c>
      <c r="V17" s="100" t="s">
        <v>28</v>
      </c>
      <c r="W17" s="287" t="s">
        <v>483</v>
      </c>
      <c r="X17" s="272">
        <v>0.3</v>
      </c>
    </row>
    <row r="18" spans="1:35" ht="18.75" customHeight="1">
      <c r="A18" s="128" t="s">
        <v>594</v>
      </c>
      <c r="B18" s="75" t="s">
        <v>162</v>
      </c>
      <c r="C18" s="73">
        <v>7</v>
      </c>
      <c r="D18" s="357">
        <v>0.6</v>
      </c>
      <c r="E18" s="68">
        <f>1/7</f>
        <v>0.14285714285714285</v>
      </c>
      <c r="F18" s="69">
        <f>3/7</f>
        <v>0.42857142857142855</v>
      </c>
      <c r="G18" s="178">
        <v>33.299999999999997</v>
      </c>
      <c r="H18" s="347">
        <v>0</v>
      </c>
      <c r="I18" s="69">
        <v>0.4</v>
      </c>
      <c r="J18" s="367">
        <v>0</v>
      </c>
      <c r="K18" s="241">
        <f>2/7</f>
        <v>0.2857142857142857</v>
      </c>
      <c r="L18" s="69">
        <f>6/7</f>
        <v>0.8571428571428571</v>
      </c>
      <c r="M18" s="178">
        <v>33.299999999999997</v>
      </c>
      <c r="N18" s="71">
        <v>0.4</v>
      </c>
      <c r="O18" s="72">
        <v>0.1</v>
      </c>
      <c r="P18" s="242">
        <v>0.6</v>
      </c>
      <c r="Q18" s="295">
        <v>0.4</v>
      </c>
      <c r="R18" s="380">
        <v>0</v>
      </c>
      <c r="S18" s="241">
        <v>0.3</v>
      </c>
      <c r="T18" s="75">
        <v>0</v>
      </c>
      <c r="U18" s="71">
        <v>0.6</v>
      </c>
      <c r="V18" s="243" t="s">
        <v>28</v>
      </c>
      <c r="W18" s="295" t="s">
        <v>595</v>
      </c>
      <c r="X18" s="406">
        <v>0</v>
      </c>
    </row>
    <row r="19" spans="1:35" s="2" customFormat="1" ht="18.75" customHeight="1">
      <c r="A19" s="448" t="s">
        <v>596</v>
      </c>
      <c r="B19" s="449"/>
      <c r="C19" s="321">
        <v>12</v>
      </c>
      <c r="D19" s="361">
        <v>82.2</v>
      </c>
      <c r="E19" s="323">
        <f>277/12</f>
        <v>23.083333333333332</v>
      </c>
      <c r="F19" s="259">
        <f>515/12</f>
        <v>42.916666666666664</v>
      </c>
      <c r="G19" s="402">
        <v>53.8</v>
      </c>
      <c r="H19" s="258">
        <f>76/12</f>
        <v>6.333333333333333</v>
      </c>
      <c r="I19" s="259">
        <f>239/12</f>
        <v>19.916666666666668</v>
      </c>
      <c r="J19" s="402">
        <v>31.8</v>
      </c>
      <c r="K19" s="258">
        <f>204/12</f>
        <v>17</v>
      </c>
      <c r="L19" s="259">
        <f>299/12</f>
        <v>24.916666666666668</v>
      </c>
      <c r="M19" s="402">
        <v>68.2</v>
      </c>
      <c r="N19" s="266">
        <v>24.1</v>
      </c>
      <c r="O19" s="262">
        <v>7.9</v>
      </c>
      <c r="P19" s="403">
        <v>32</v>
      </c>
      <c r="Q19" s="362">
        <v>13.7</v>
      </c>
      <c r="R19" s="362">
        <v>1.9</v>
      </c>
      <c r="S19" s="258">
        <v>13.6</v>
      </c>
      <c r="T19" s="404">
        <v>7.4</v>
      </c>
      <c r="U19" s="258">
        <v>22.1</v>
      </c>
      <c r="V19" s="371"/>
      <c r="W19" s="405"/>
      <c r="X19" s="268">
        <v>79.599999999999994</v>
      </c>
      <c r="Y19"/>
      <c r="Z19"/>
    </row>
    <row r="20" spans="1:35" s="2" customFormat="1" ht="18.75" customHeight="1">
      <c r="A20" s="493" t="s">
        <v>62</v>
      </c>
      <c r="B20" s="519"/>
      <c r="C20" s="337">
        <v>12</v>
      </c>
      <c r="D20" s="355">
        <v>78.8</v>
      </c>
      <c r="E20" s="521"/>
      <c r="F20" s="495"/>
      <c r="G20" s="329">
        <v>57.5</v>
      </c>
      <c r="H20" s="520"/>
      <c r="I20" s="496"/>
      <c r="J20" s="364">
        <v>34.4</v>
      </c>
      <c r="K20" s="520"/>
      <c r="L20" s="496"/>
      <c r="M20" s="496"/>
      <c r="N20" s="496"/>
      <c r="O20" s="496"/>
      <c r="P20" s="496"/>
      <c r="Q20" s="496"/>
      <c r="R20" s="496"/>
      <c r="S20" s="496"/>
      <c r="T20" s="496"/>
      <c r="U20" s="496"/>
      <c r="V20" s="496"/>
      <c r="W20" s="496"/>
      <c r="X20" s="497"/>
      <c r="Y20"/>
      <c r="Z20"/>
    </row>
    <row r="21" spans="1:35" s="2" customFormat="1" ht="18.75" customHeight="1">
      <c r="A21" s="437" t="s">
        <v>597</v>
      </c>
      <c r="B21" s="437"/>
      <c r="C21" s="437"/>
      <c r="D21" s="437"/>
      <c r="E21" s="437"/>
      <c r="F21" s="437"/>
      <c r="G21" s="437"/>
      <c r="H21" s="437"/>
      <c r="I21" s="437"/>
      <c r="J21" s="437"/>
      <c r="K21" s="437"/>
      <c r="L21" s="437"/>
      <c r="M21" s="437"/>
      <c r="N21" s="437"/>
      <c r="O21" s="437"/>
      <c r="P21" s="437"/>
      <c r="Q21" s="437"/>
      <c r="R21" s="437"/>
      <c r="S21" s="437"/>
      <c r="T21" s="437"/>
      <c r="U21" s="437"/>
      <c r="V21" s="437"/>
      <c r="W21" s="437"/>
      <c r="X21" s="437"/>
      <c r="Y21"/>
      <c r="Z21"/>
    </row>
    <row r="22" spans="1:35" s="2" customFormat="1" ht="18.75" customHeight="1">
      <c r="A22" s="432" t="s">
        <v>598</v>
      </c>
      <c r="B22" s="432"/>
      <c r="C22" s="432"/>
      <c r="D22" s="432"/>
      <c r="E22" s="432"/>
      <c r="F22" s="432"/>
      <c r="G22" s="432"/>
      <c r="H22" s="432"/>
      <c r="I22" s="432"/>
      <c r="J22" s="432"/>
      <c r="K22" s="432"/>
      <c r="L22" s="432"/>
      <c r="M22" s="432"/>
      <c r="N22" s="432"/>
      <c r="O22" s="432"/>
      <c r="P22" s="432"/>
      <c r="Q22" s="432"/>
      <c r="R22" s="432"/>
      <c r="S22" s="432"/>
      <c r="T22" s="432"/>
      <c r="U22" s="432"/>
      <c r="V22" s="432"/>
      <c r="W22" s="432"/>
      <c r="X22" s="432"/>
      <c r="Y22"/>
      <c r="Z22"/>
    </row>
    <row r="23" spans="1:35" s="2" customFormat="1" ht="18.75" customHeight="1">
      <c r="A23" s="433" t="s">
        <v>65</v>
      </c>
      <c r="B23" s="433"/>
      <c r="C23" s="433"/>
      <c r="D23" s="433"/>
      <c r="E23" s="433"/>
      <c r="F23" s="433"/>
      <c r="G23" s="433"/>
      <c r="H23" s="433"/>
      <c r="I23" s="433"/>
      <c r="J23" s="433"/>
      <c r="K23" s="433"/>
      <c r="L23" s="433"/>
      <c r="M23" s="433"/>
      <c r="N23" s="433"/>
      <c r="O23" s="433"/>
      <c r="P23" s="433"/>
      <c r="Q23" s="433"/>
      <c r="R23" s="433"/>
      <c r="S23" s="433"/>
      <c r="T23" s="433"/>
      <c r="U23" s="433"/>
      <c r="V23" s="433"/>
      <c r="W23" s="433"/>
      <c r="X23" s="433"/>
      <c r="Y23"/>
      <c r="Z23"/>
      <c r="AI23" s="3"/>
    </row>
    <row r="24" spans="1:35" ht="18.75" customHeight="1"/>
  </sheetData>
  <mergeCells count="26">
    <mergeCell ref="S5:T5"/>
    <mergeCell ref="A5:A6"/>
    <mergeCell ref="Q5:Q6"/>
    <mergeCell ref="R5:R6"/>
    <mergeCell ref="B5:B6"/>
    <mergeCell ref="A23:X23"/>
    <mergeCell ref="A1:A4"/>
    <mergeCell ref="D5:D6"/>
    <mergeCell ref="E5:G5"/>
    <mergeCell ref="K5:M5"/>
    <mergeCell ref="C5:C6"/>
    <mergeCell ref="B1:S2"/>
    <mergeCell ref="T1:X4"/>
    <mergeCell ref="B3:S4"/>
    <mergeCell ref="U5:V5"/>
    <mergeCell ref="H5:J5"/>
    <mergeCell ref="W5:W6"/>
    <mergeCell ref="X5:X6"/>
    <mergeCell ref="A20:B20"/>
    <mergeCell ref="A19:B19"/>
    <mergeCell ref="N5:P5"/>
    <mergeCell ref="K20:X20"/>
    <mergeCell ref="H20:I20"/>
    <mergeCell ref="E20:F20"/>
    <mergeCell ref="A21:X21"/>
    <mergeCell ref="A22:X22"/>
  </mergeCells>
  <pageMargins left="0.25" right="0.25" top="0.75" bottom="0.75" header="0.3" footer="0.3"/>
  <pageSetup paperSize="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Windows XP Titan Ultimate Edition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Leo</dc:creator>
  <cp:keywords/>
  <dc:description/>
  <cp:lastModifiedBy>Leo Hiriart</cp:lastModifiedBy>
  <cp:revision/>
  <dcterms:created xsi:type="dcterms:W3CDTF">2023-01-25T04:21:22Z</dcterms:created>
  <dcterms:modified xsi:type="dcterms:W3CDTF">2023-01-25T19:19:47Z</dcterms:modified>
  <cp:category/>
  <cp:contentStatus/>
</cp:coreProperties>
</file>