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1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partans\Desktop\"/>
    </mc:Choice>
  </mc:AlternateContent>
  <xr:revisionPtr revIDLastSave="0" documentId="8_{EC19DBE9-CB86-4093-9B52-A03A0D9E1D35}" xr6:coauthVersionLast="47" xr6:coauthVersionMax="47" xr10:uidLastSave="{00000000-0000-0000-0000-000000000000}"/>
  <bookViews>
    <workbookView xWindow="-120" yWindow="-120" windowWidth="20730" windowHeight="11160" xr2:uid="{EBB1F398-E619-476F-975D-1F203CE28BD2}"/>
  </bookViews>
  <sheets>
    <sheet name="IMPORTADOS " sheetId="6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35" i="6" l="1"/>
  <c r="K35" i="6"/>
  <c r="F35" i="6"/>
  <c r="E35" i="6"/>
  <c r="F105" i="6"/>
  <c r="E105" i="6"/>
  <c r="L26" i="6"/>
  <c r="K26" i="6"/>
  <c r="I26" i="6"/>
  <c r="H26" i="6"/>
  <c r="F26" i="6"/>
  <c r="E26" i="6"/>
  <c r="L21" i="6"/>
  <c r="K21" i="6"/>
  <c r="I21" i="6"/>
  <c r="F21" i="6"/>
  <c r="E21" i="6"/>
  <c r="L36" i="6"/>
  <c r="K36" i="6"/>
  <c r="I36" i="6"/>
  <c r="H36" i="6"/>
  <c r="F36" i="6"/>
  <c r="E36" i="6"/>
  <c r="L84" i="6"/>
  <c r="K84" i="6"/>
  <c r="I84" i="6"/>
  <c r="F84" i="6"/>
  <c r="E84" i="6"/>
  <c r="L44" i="6"/>
  <c r="K44" i="6"/>
  <c r="I44" i="6"/>
  <c r="H44" i="6"/>
  <c r="F44" i="6"/>
  <c r="E44" i="6"/>
  <c r="I61" i="6"/>
  <c r="L90" i="6"/>
  <c r="K90" i="6"/>
  <c r="I90" i="6"/>
  <c r="H90" i="6"/>
  <c r="F90" i="6"/>
  <c r="E90" i="6"/>
  <c r="L16" i="6"/>
  <c r="K16" i="6"/>
  <c r="I16" i="6"/>
  <c r="H16" i="6"/>
  <c r="F16" i="6"/>
  <c r="E16" i="6"/>
  <c r="L64" i="6"/>
  <c r="K64" i="6"/>
  <c r="I64" i="6"/>
  <c r="H64" i="6"/>
  <c r="F64" i="6"/>
  <c r="E64" i="6"/>
  <c r="L63" i="6"/>
  <c r="K63" i="6"/>
  <c r="I63" i="6"/>
  <c r="F63" i="6"/>
  <c r="E63" i="6"/>
  <c r="L68" i="6"/>
  <c r="K68" i="6"/>
  <c r="I68" i="6"/>
  <c r="H68" i="6"/>
  <c r="F68" i="6"/>
  <c r="E68" i="6"/>
  <c r="L28" i="6"/>
  <c r="K28" i="6"/>
  <c r="I28" i="6"/>
  <c r="H28" i="6"/>
  <c r="F28" i="6"/>
  <c r="E28" i="6"/>
  <c r="L88" i="6"/>
  <c r="K88" i="6"/>
  <c r="I88" i="6"/>
  <c r="H88" i="6"/>
  <c r="F88" i="6"/>
  <c r="E88" i="6"/>
  <c r="L94" i="6"/>
  <c r="K94" i="6"/>
  <c r="I94" i="6"/>
  <c r="F94" i="6"/>
  <c r="E94" i="6"/>
  <c r="L39" i="6"/>
  <c r="K39" i="6"/>
  <c r="I39" i="6"/>
  <c r="H39" i="6"/>
  <c r="F39" i="6"/>
  <c r="E39" i="6"/>
  <c r="L76" i="6"/>
  <c r="K76" i="6"/>
  <c r="F76" i="6"/>
  <c r="E76" i="6"/>
  <c r="P99" i="6"/>
  <c r="O99" i="6"/>
  <c r="N99" i="6"/>
  <c r="L99" i="6"/>
  <c r="K99" i="6"/>
  <c r="I99" i="6"/>
  <c r="F99" i="6"/>
  <c r="L19" i="6"/>
  <c r="K19" i="6"/>
  <c r="I19" i="6"/>
  <c r="H19" i="6"/>
  <c r="F19" i="6"/>
  <c r="E19" i="6"/>
  <c r="L97" i="6"/>
  <c r="F97" i="6"/>
  <c r="E97" i="6"/>
  <c r="L92" i="6"/>
  <c r="K92" i="6"/>
  <c r="F92" i="6"/>
  <c r="E92" i="6"/>
  <c r="L81" i="6"/>
  <c r="K81" i="6"/>
  <c r="I81" i="6"/>
  <c r="F81" i="6"/>
  <c r="L74" i="6"/>
  <c r="K74" i="6"/>
  <c r="I74" i="6"/>
  <c r="H74" i="6"/>
  <c r="F74" i="6"/>
  <c r="E74" i="6"/>
  <c r="L23" i="6"/>
  <c r="K23" i="6"/>
  <c r="I23" i="6"/>
  <c r="F23" i="6"/>
  <c r="E23" i="6"/>
  <c r="L82" i="6"/>
  <c r="I82" i="6"/>
  <c r="F82" i="6"/>
  <c r="E82" i="6"/>
  <c r="L11" i="6"/>
  <c r="K11" i="6"/>
  <c r="I11" i="6"/>
  <c r="H11" i="6"/>
  <c r="F11" i="6"/>
  <c r="E11" i="6"/>
  <c r="L65" i="6"/>
  <c r="K65" i="6"/>
  <c r="I65" i="6"/>
  <c r="H65" i="6"/>
  <c r="F65" i="6"/>
  <c r="E65" i="6"/>
  <c r="L60" i="6"/>
  <c r="K60" i="6"/>
  <c r="I60" i="6"/>
  <c r="H60" i="6"/>
  <c r="F60" i="6"/>
  <c r="E60" i="6"/>
  <c r="E8" i="6"/>
  <c r="L22" i="6"/>
  <c r="K22" i="6"/>
  <c r="H22" i="6"/>
  <c r="F22" i="6"/>
  <c r="E22" i="6"/>
  <c r="K98" i="6"/>
  <c r="I98" i="6"/>
  <c r="H98" i="6"/>
  <c r="F98" i="6"/>
  <c r="E98" i="6"/>
  <c r="K89" i="6"/>
  <c r="E89" i="6"/>
  <c r="L18" i="6"/>
  <c r="K18" i="6"/>
  <c r="I18" i="6"/>
  <c r="H18" i="6"/>
  <c r="F18" i="6"/>
  <c r="E18" i="6"/>
  <c r="L7" i="6"/>
  <c r="K7" i="6"/>
  <c r="I7" i="6"/>
  <c r="H7" i="6"/>
  <c r="F7" i="6"/>
  <c r="E7" i="6"/>
  <c r="L78" i="6"/>
  <c r="K78" i="6"/>
  <c r="I78" i="6"/>
  <c r="H78" i="6"/>
  <c r="F78" i="6"/>
  <c r="E78" i="6"/>
  <c r="L27" i="6"/>
  <c r="K27" i="6"/>
  <c r="I27" i="6"/>
  <c r="H27" i="6"/>
  <c r="F27" i="6"/>
  <c r="E27" i="6"/>
  <c r="L9" i="6"/>
  <c r="K9" i="6"/>
  <c r="I9" i="6"/>
  <c r="H9" i="6"/>
  <c r="F9" i="6"/>
  <c r="E9" i="6"/>
  <c r="L48" i="6"/>
  <c r="K48" i="6"/>
  <c r="I48" i="6"/>
  <c r="H48" i="6"/>
  <c r="F48" i="6"/>
  <c r="E48" i="6"/>
  <c r="L12" i="6"/>
  <c r="K12" i="6"/>
  <c r="I12" i="6"/>
  <c r="F12" i="6"/>
  <c r="E12" i="6"/>
  <c r="L69" i="6"/>
  <c r="K69" i="6"/>
  <c r="I69" i="6"/>
  <c r="H69" i="6"/>
  <c r="F69" i="6"/>
  <c r="E69" i="6"/>
  <c r="L59" i="6"/>
  <c r="K59" i="6"/>
  <c r="I59" i="6"/>
  <c r="H59" i="6"/>
  <c r="F59" i="6"/>
  <c r="E59" i="6"/>
  <c r="L29" i="6"/>
  <c r="K29" i="6"/>
  <c r="I29" i="6"/>
  <c r="H29" i="6"/>
  <c r="F29" i="6"/>
  <c r="E29" i="6"/>
  <c r="L49" i="6"/>
  <c r="K49" i="6"/>
  <c r="I49" i="6"/>
  <c r="H49" i="6"/>
  <c r="F49" i="6"/>
  <c r="E49" i="6"/>
  <c r="L47" i="6"/>
  <c r="K47" i="6"/>
  <c r="I47" i="6"/>
  <c r="H47" i="6"/>
  <c r="F47" i="6"/>
  <c r="E47" i="6"/>
  <c r="L38" i="6"/>
  <c r="K38" i="6"/>
  <c r="I38" i="6"/>
  <c r="H38" i="6"/>
  <c r="F38" i="6"/>
  <c r="E38" i="6"/>
  <c r="L62" i="6"/>
  <c r="K62" i="6"/>
  <c r="I62" i="6"/>
  <c r="H62" i="6"/>
  <c r="F62" i="6"/>
  <c r="E62" i="6"/>
  <c r="L72" i="6"/>
  <c r="K72" i="6"/>
  <c r="I72" i="6"/>
  <c r="H72" i="6"/>
  <c r="F72" i="6"/>
  <c r="E72" i="6"/>
  <c r="L30" i="6"/>
  <c r="K30" i="6"/>
  <c r="I30" i="6"/>
  <c r="H30" i="6"/>
  <c r="F30" i="6"/>
  <c r="E30" i="6"/>
  <c r="L73" i="6"/>
  <c r="K73" i="6"/>
  <c r="I73" i="6"/>
  <c r="H73" i="6"/>
  <c r="F73" i="6"/>
  <c r="E73" i="6"/>
  <c r="L53" i="6"/>
  <c r="K53" i="6"/>
  <c r="I53" i="6"/>
  <c r="H53" i="6"/>
  <c r="F53" i="6"/>
  <c r="E53" i="6"/>
  <c r="L24" i="6"/>
  <c r="K24" i="6"/>
  <c r="I24" i="6"/>
  <c r="H24" i="6"/>
  <c r="F24" i="6"/>
  <c r="E24" i="6"/>
  <c r="L93" i="6"/>
  <c r="K93" i="6"/>
  <c r="I93" i="6"/>
  <c r="H93" i="6"/>
  <c r="F93" i="6"/>
  <c r="E93" i="6"/>
  <c r="L13" i="6"/>
  <c r="K13" i="6"/>
  <c r="H13" i="6"/>
  <c r="F13" i="6"/>
  <c r="E13" i="6"/>
  <c r="L101" i="6"/>
  <c r="K101" i="6"/>
  <c r="I101" i="6"/>
  <c r="H101" i="6"/>
  <c r="F101" i="6"/>
  <c r="E101" i="6"/>
  <c r="L96" i="6"/>
  <c r="K96" i="6"/>
  <c r="I96" i="6"/>
  <c r="H96" i="6"/>
  <c r="F96" i="6"/>
  <c r="E96" i="6"/>
  <c r="L66" i="6"/>
  <c r="K66" i="6"/>
  <c r="I66" i="6"/>
  <c r="H66" i="6"/>
  <c r="F66" i="6"/>
  <c r="E66" i="6"/>
  <c r="L55" i="6"/>
  <c r="K55" i="6"/>
  <c r="I55" i="6"/>
  <c r="H55" i="6"/>
  <c r="F55" i="6"/>
  <c r="E55" i="6"/>
  <c r="L32" i="6"/>
  <c r="K32" i="6"/>
  <c r="I32" i="6"/>
  <c r="F32" i="6"/>
  <c r="E32" i="6"/>
  <c r="L100" i="6"/>
  <c r="K100" i="6"/>
  <c r="I100" i="6"/>
  <c r="H100" i="6"/>
  <c r="F100" i="6"/>
  <c r="E100" i="6"/>
  <c r="L77" i="6"/>
  <c r="K77" i="6"/>
  <c r="I77" i="6"/>
  <c r="H77" i="6"/>
  <c r="F77" i="6"/>
  <c r="E77" i="6"/>
  <c r="L33" i="6"/>
  <c r="K33" i="6"/>
  <c r="I33" i="6"/>
  <c r="H33" i="6"/>
  <c r="F33" i="6"/>
  <c r="E33" i="6"/>
  <c r="K79" i="6"/>
  <c r="I79" i="6"/>
  <c r="H79" i="6"/>
  <c r="F79" i="6"/>
  <c r="L17" i="6"/>
  <c r="K17" i="6"/>
  <c r="I17" i="6"/>
  <c r="H17" i="6"/>
  <c r="F17" i="6"/>
  <c r="E17" i="6"/>
  <c r="L31" i="6"/>
  <c r="K31" i="6"/>
  <c r="I31" i="6"/>
  <c r="H31" i="6"/>
  <c r="F31" i="6"/>
  <c r="E31" i="6"/>
  <c r="L50" i="6"/>
  <c r="K50" i="6"/>
  <c r="I50" i="6"/>
  <c r="H50" i="6"/>
  <c r="F50" i="6"/>
  <c r="E50" i="6"/>
  <c r="L52" i="6"/>
  <c r="K52" i="6"/>
  <c r="I52" i="6"/>
  <c r="H52" i="6"/>
  <c r="F52" i="6"/>
  <c r="E52" i="6"/>
  <c r="L87" i="6"/>
  <c r="K87" i="6"/>
  <c r="I87" i="6"/>
  <c r="H87" i="6"/>
  <c r="F87" i="6"/>
  <c r="E87" i="6"/>
  <c r="L45" i="6"/>
  <c r="K45" i="6"/>
  <c r="I45" i="6"/>
  <c r="H45" i="6"/>
  <c r="F45" i="6"/>
  <c r="E45" i="6"/>
  <c r="L70" i="6"/>
  <c r="K70" i="6"/>
  <c r="I70" i="6"/>
  <c r="H70" i="6"/>
  <c r="F70" i="6"/>
  <c r="E70" i="6"/>
  <c r="I106" i="6"/>
  <c r="H106" i="6"/>
  <c r="F106" i="6"/>
  <c r="L80" i="6"/>
  <c r="K80" i="6"/>
  <c r="I80" i="6"/>
  <c r="H80" i="6"/>
  <c r="F80" i="6"/>
  <c r="E80" i="6"/>
  <c r="K102" i="6"/>
  <c r="I102" i="6"/>
  <c r="F102" i="6"/>
  <c r="E102" i="6"/>
  <c r="L83" i="6"/>
  <c r="K83" i="6"/>
  <c r="I83" i="6"/>
  <c r="H83" i="6"/>
  <c r="F83" i="6"/>
  <c r="E83" i="6"/>
  <c r="L42" i="6"/>
  <c r="K42" i="6"/>
  <c r="I42" i="6"/>
  <c r="H42" i="6"/>
  <c r="F42" i="6"/>
  <c r="E42" i="6"/>
  <c r="L51" i="6"/>
  <c r="K51" i="6"/>
  <c r="I51" i="6"/>
  <c r="H51" i="6"/>
  <c r="F51" i="6"/>
  <c r="E51" i="6"/>
  <c r="L91" i="6"/>
  <c r="K91" i="6"/>
  <c r="I91" i="6"/>
  <c r="H91" i="6"/>
  <c r="F91" i="6"/>
  <c r="E91" i="6"/>
  <c r="L10" i="6"/>
  <c r="K10" i="6"/>
  <c r="I10" i="6"/>
  <c r="H10" i="6"/>
  <c r="F10" i="6"/>
  <c r="E10" i="6"/>
  <c r="L41" i="6"/>
  <c r="K41" i="6"/>
  <c r="I41" i="6"/>
  <c r="H41" i="6"/>
  <c r="F41" i="6"/>
  <c r="E41" i="6"/>
  <c r="L46" i="6"/>
  <c r="K46" i="6"/>
  <c r="I46" i="6"/>
  <c r="H46" i="6"/>
  <c r="F46" i="6"/>
  <c r="E46" i="6"/>
  <c r="L67" i="6"/>
  <c r="K67" i="6"/>
  <c r="I67" i="6"/>
  <c r="H67" i="6"/>
  <c r="F67" i="6"/>
  <c r="E67" i="6"/>
  <c r="L25" i="6"/>
  <c r="K25" i="6"/>
  <c r="I25" i="6"/>
  <c r="H25" i="6"/>
  <c r="F25" i="6"/>
  <c r="E25" i="6"/>
  <c r="E85" i="6"/>
  <c r="F85" i="6"/>
  <c r="H85" i="6"/>
  <c r="I85" i="6"/>
  <c r="K85" i="6"/>
  <c r="L85" i="6"/>
  <c r="E37" i="6"/>
  <c r="F37" i="6"/>
  <c r="H37" i="6"/>
  <c r="I37" i="6"/>
  <c r="K37" i="6"/>
  <c r="L37" i="6"/>
  <c r="E43" i="6"/>
  <c r="F43" i="6"/>
  <c r="H43" i="6"/>
  <c r="I43" i="6"/>
  <c r="L43" i="6"/>
  <c r="E95" i="6"/>
  <c r="F95" i="6"/>
  <c r="H95" i="6"/>
  <c r="I95" i="6"/>
  <c r="K95" i="6"/>
  <c r="L95" i="6"/>
  <c r="L20" i="6"/>
  <c r="K20" i="6"/>
  <c r="H20" i="6"/>
  <c r="F20" i="6"/>
  <c r="E20" i="6"/>
  <c r="F75" i="6"/>
  <c r="E75" i="6"/>
  <c r="L71" i="6"/>
  <c r="K71" i="6"/>
  <c r="I71" i="6"/>
  <c r="H71" i="6"/>
  <c r="F71" i="6"/>
  <c r="E71" i="6"/>
  <c r="L14" i="6"/>
  <c r="K14" i="6"/>
  <c r="I14" i="6"/>
  <c r="H14" i="6"/>
  <c r="F14" i="6"/>
  <c r="E14" i="6"/>
  <c r="L15" i="6"/>
  <c r="K15" i="6"/>
  <c r="I15" i="6"/>
  <c r="H15" i="6"/>
  <c r="F15" i="6"/>
  <c r="E15" i="6"/>
  <c r="L104" i="6"/>
  <c r="H104" i="6"/>
  <c r="L34" i="6"/>
  <c r="K34" i="6"/>
  <c r="I34" i="6"/>
  <c r="H34" i="6"/>
  <c r="F34" i="6"/>
  <c r="E34" i="6"/>
  <c r="L40" i="6"/>
  <c r="K40" i="6"/>
  <c r="I40" i="6"/>
  <c r="H40" i="6"/>
  <c r="F40" i="6"/>
  <c r="E40" i="6"/>
  <c r="L58" i="6"/>
  <c r="K58" i="6"/>
  <c r="I58" i="6"/>
  <c r="H58" i="6"/>
  <c r="F58" i="6"/>
  <c r="E58" i="6"/>
  <c r="L54" i="6"/>
  <c r="K54" i="6"/>
  <c r="I54" i="6"/>
  <c r="H54" i="6"/>
  <c r="F54" i="6"/>
  <c r="E54" i="6"/>
  <c r="L57" i="6"/>
  <c r="K57" i="6"/>
  <c r="I57" i="6"/>
  <c r="H57" i="6"/>
  <c r="F57" i="6"/>
  <c r="E57" i="6"/>
</calcChain>
</file>

<file path=xl/sharedStrings.xml><?xml version="1.0" encoding="utf-8"?>
<sst xmlns="http://schemas.openxmlformats.org/spreadsheetml/2006/main" count="432" uniqueCount="210">
  <si>
    <t>RANKING IMPORTADOS SPB 2022</t>
  </si>
  <si>
    <t xml:space="preserve">101 JUGADORES </t>
  </si>
  <si>
    <t xml:space="preserve">NOMBRE </t>
  </si>
  <si>
    <t>PJ</t>
  </si>
  <si>
    <t>PTS</t>
  </si>
  <si>
    <t>DOBLES</t>
  </si>
  <si>
    <t>TRIPLES</t>
  </si>
  <si>
    <t>TIROS LIBRES</t>
  </si>
  <si>
    <t>REBOTES</t>
  </si>
  <si>
    <t>AS</t>
  </si>
  <si>
    <t>BLKS</t>
  </si>
  <si>
    <t>PELOTAS</t>
  </si>
  <si>
    <t>FALTAS</t>
  </si>
  <si>
    <t>MIN</t>
  </si>
  <si>
    <t>VAL</t>
  </si>
  <si>
    <t>PUESTO</t>
  </si>
  <si>
    <t>C</t>
  </si>
  <si>
    <t>L</t>
  </si>
  <si>
    <t>%</t>
  </si>
  <si>
    <t>DE</t>
  </si>
  <si>
    <t>OF</t>
  </si>
  <si>
    <t>TOT</t>
  </si>
  <si>
    <t>PÉR.</t>
  </si>
  <si>
    <t>REC.</t>
  </si>
  <si>
    <t>FP</t>
  </si>
  <si>
    <t>FR</t>
  </si>
  <si>
    <r>
      <t xml:space="preserve">MILOSEVIC, Milan </t>
    </r>
    <r>
      <rPr>
        <b/>
        <sz val="8"/>
        <color rgb="FFFF000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PIRATAS</t>
    </r>
  </si>
  <si>
    <t>S/R</t>
  </si>
  <si>
    <t>29.6</t>
  </si>
  <si>
    <t>ALA-PIVOT</t>
  </si>
  <si>
    <r>
      <rPr>
        <b/>
        <sz val="11"/>
        <color rgb="FF000000"/>
        <rFont val="Calibri"/>
      </rPr>
      <t>STEVE, Taylor</t>
    </r>
    <r>
      <rPr>
        <b/>
        <sz val="11"/>
        <color rgb="FFFFFFFF"/>
        <rFont val="Calibri"/>
      </rPr>
      <t xml:space="preserve">   </t>
    </r>
    <r>
      <rPr>
        <b/>
        <sz val="11"/>
        <color rgb="FFFF0000"/>
        <rFont val="Calibri"/>
      </rPr>
      <t xml:space="preserve"> </t>
    </r>
    <r>
      <rPr>
        <b/>
        <sz val="8"/>
        <color rgb="FFFFFFFF"/>
        <rFont val="Calibri"/>
      </rPr>
      <t>MARINOS</t>
    </r>
  </si>
  <si>
    <t>33.5</t>
  </si>
  <si>
    <r>
      <t xml:space="preserve">GLASS, Tevin  </t>
    </r>
    <r>
      <rPr>
        <b/>
        <sz val="8"/>
        <color theme="0"/>
        <rFont val="Calibri"/>
        <family val="2"/>
        <scheme val="minor"/>
      </rPr>
      <t>BRONCOS</t>
    </r>
  </si>
  <si>
    <t>34.0</t>
  </si>
  <si>
    <r>
      <t xml:space="preserve">MAC, Sheldon  </t>
    </r>
    <r>
      <rPr>
        <b/>
        <sz val="8"/>
        <color theme="0"/>
        <rFont val="Calibri"/>
        <family val="2"/>
        <scheme val="minor"/>
      </rPr>
      <t>GLADIADORES</t>
    </r>
  </si>
  <si>
    <t>32.4</t>
  </si>
  <si>
    <t>ESCOLTAS</t>
  </si>
  <si>
    <r>
      <rPr>
        <b/>
        <sz val="11"/>
        <color rgb="FF000000"/>
        <rFont val="Calibri"/>
      </rPr>
      <t xml:space="preserve">ALEXANDER, Kwame   </t>
    </r>
    <r>
      <rPr>
        <b/>
        <sz val="8"/>
        <color rgb="FFFF0000"/>
        <rFont val="Calibri"/>
      </rPr>
      <t xml:space="preserve"> </t>
    </r>
    <r>
      <rPr>
        <b/>
        <sz val="8"/>
        <color rgb="FFFFFFFF"/>
        <rFont val="Calibri"/>
      </rPr>
      <t>TAURINOS</t>
    </r>
  </si>
  <si>
    <t>34.1</t>
  </si>
  <si>
    <r>
      <t xml:space="preserve">COLLIER, Devon  </t>
    </r>
    <r>
      <rPr>
        <b/>
        <sz val="8"/>
        <color theme="0"/>
        <rFont val="Calibri"/>
        <family val="2"/>
        <scheme val="minor"/>
      </rPr>
      <t>GLADIADORES</t>
    </r>
  </si>
  <si>
    <r>
      <t xml:space="preserve">JOHNSON, Kaleb  </t>
    </r>
    <r>
      <rPr>
        <b/>
        <sz val="8"/>
        <color theme="0"/>
        <rFont val="Calibri"/>
        <family val="2"/>
        <scheme val="minor"/>
      </rPr>
      <t>BRILLANTES</t>
    </r>
  </si>
  <si>
    <t>28.4</t>
  </si>
  <si>
    <t>ALEROS</t>
  </si>
  <si>
    <r>
      <t xml:space="preserve">THOMAS, Marcus  </t>
    </r>
    <r>
      <rPr>
        <b/>
        <sz val="8"/>
        <color rgb="FFFF000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LLANEROS</t>
    </r>
  </si>
  <si>
    <t>30.8</t>
  </si>
  <si>
    <t>BASE</t>
  </si>
  <si>
    <r>
      <t xml:space="preserve">DESHIELDS, Keiron   </t>
    </r>
    <r>
      <rPr>
        <b/>
        <sz val="8"/>
        <color theme="0"/>
        <rFont val="Calibri"/>
        <family val="2"/>
        <scheme val="minor"/>
      </rPr>
      <t>HEROES</t>
    </r>
  </si>
  <si>
    <t>34.3</t>
  </si>
  <si>
    <r>
      <rPr>
        <b/>
        <sz val="11"/>
        <color rgb="FF000000"/>
        <rFont val="Calibri"/>
      </rPr>
      <t xml:space="preserve">MAJOK, Ater </t>
    </r>
    <r>
      <rPr>
        <b/>
        <sz val="9"/>
        <color rgb="FFFFFFFF"/>
        <rFont val="Calibri"/>
      </rPr>
      <t>PIRATAS</t>
    </r>
  </si>
  <si>
    <t>PIVOT</t>
  </si>
  <si>
    <r>
      <rPr>
        <b/>
        <sz val="11"/>
        <color rgb="FF000000"/>
        <rFont val="Calibri"/>
      </rPr>
      <t>CLARK, Elyjah</t>
    </r>
    <r>
      <rPr>
        <b/>
        <sz val="11"/>
        <color rgb="FFFF0000"/>
        <rFont val="Calibri"/>
      </rPr>
      <t xml:space="preserve"> </t>
    </r>
    <r>
      <rPr>
        <b/>
        <sz val="8"/>
        <color rgb="FFFFFFFF"/>
        <rFont val="Calibri"/>
      </rPr>
      <t>GAITEROS</t>
    </r>
  </si>
  <si>
    <t>32.6</t>
  </si>
  <si>
    <r>
      <t xml:space="preserve">HOLLIS, Damian  </t>
    </r>
    <r>
      <rPr>
        <b/>
        <sz val="8"/>
        <color theme="0"/>
        <rFont val="Calibri"/>
        <family val="2"/>
        <scheme val="minor"/>
      </rPr>
      <t>PIRATAS</t>
    </r>
  </si>
  <si>
    <t>29.9</t>
  </si>
  <si>
    <r>
      <rPr>
        <b/>
        <sz val="11"/>
        <color rgb="FF000000"/>
        <rFont val="Calibri"/>
      </rPr>
      <t xml:space="preserve">ARAUJO, Jhonatan  </t>
    </r>
    <r>
      <rPr>
        <b/>
        <sz val="8"/>
        <color rgb="FFFFFFFF"/>
        <rFont val="Calibri"/>
      </rPr>
      <t>CENTAUROS</t>
    </r>
  </si>
  <si>
    <t>28.3</t>
  </si>
  <si>
    <r>
      <rPr>
        <b/>
        <sz val="11"/>
        <color rgb="FF000000"/>
        <rFont val="Calibri"/>
      </rPr>
      <t xml:space="preserve">WILLIAMS, Morakinyo </t>
    </r>
    <r>
      <rPr>
        <b/>
        <sz val="8"/>
        <color rgb="FFFFFFFF"/>
        <rFont val="Calibri"/>
      </rPr>
      <t>GAITEROS</t>
    </r>
  </si>
  <si>
    <t>36.8</t>
  </si>
  <si>
    <r>
      <rPr>
        <b/>
        <sz val="11"/>
        <color rgb="FF000000"/>
        <rFont val="Calibri"/>
      </rPr>
      <t xml:space="preserve">BARRO, Serigne </t>
    </r>
    <r>
      <rPr>
        <b/>
        <sz val="8"/>
        <color rgb="FFFFFFFF"/>
        <rFont val="Calibri"/>
      </rPr>
      <t>GAITEROS</t>
    </r>
  </si>
  <si>
    <r>
      <t xml:space="preserve">MARTÍNEZ, Jack M.   </t>
    </r>
    <r>
      <rPr>
        <b/>
        <sz val="8"/>
        <color theme="0"/>
        <rFont val="Calibri"/>
        <family val="2"/>
        <scheme val="minor"/>
      </rPr>
      <t>MARINOS</t>
    </r>
  </si>
  <si>
    <t>32.5</t>
  </si>
  <si>
    <r>
      <rPr>
        <b/>
        <sz val="11"/>
        <color rgb="FF000000"/>
        <rFont val="Calibri"/>
      </rPr>
      <t xml:space="preserve">GUERRERO, Juan    </t>
    </r>
    <r>
      <rPr>
        <b/>
        <sz val="8"/>
        <color rgb="FFFFFFFF"/>
        <rFont val="Calibri"/>
      </rPr>
      <t>COCODRILOS</t>
    </r>
  </si>
  <si>
    <t>30.0</t>
  </si>
  <si>
    <r>
      <t xml:space="preserve">EFIANAYI, Tanskley  </t>
    </r>
    <r>
      <rPr>
        <b/>
        <sz val="8"/>
        <color theme="0"/>
        <rFont val="Calibri"/>
        <family val="2"/>
        <scheme val="minor"/>
      </rPr>
      <t>SUPERSONICOS</t>
    </r>
  </si>
  <si>
    <r>
      <t xml:space="preserve">JONES, Kennedy   </t>
    </r>
    <r>
      <rPr>
        <b/>
        <sz val="8"/>
        <color theme="0"/>
        <rFont val="Calibri"/>
        <family val="2"/>
        <scheme val="minor"/>
      </rPr>
      <t>TAURINOS</t>
    </r>
  </si>
  <si>
    <t>33.1</t>
  </si>
  <si>
    <r>
      <rPr>
        <b/>
        <sz val="11"/>
        <color rgb="FF000000"/>
        <rFont val="Calibri"/>
      </rPr>
      <t xml:space="preserve">BLAIR, Staphon </t>
    </r>
    <r>
      <rPr>
        <b/>
        <sz val="8"/>
        <color rgb="FFFFFFFF"/>
        <rFont val="Calibri"/>
      </rPr>
      <t>TOROS</t>
    </r>
  </si>
  <si>
    <t>20.6</t>
  </si>
  <si>
    <r>
      <rPr>
        <b/>
        <sz val="11"/>
        <color rgb="FF000000"/>
        <rFont val="Calibri"/>
      </rPr>
      <t>THOMAS, Charles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BRILLANTES</t>
    </r>
  </si>
  <si>
    <r>
      <t xml:space="preserve">PEÑA, Antonio </t>
    </r>
    <r>
      <rPr>
        <b/>
        <sz val="8"/>
        <color rgb="FFFF000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BRILLANTES</t>
    </r>
  </si>
  <si>
    <r>
      <rPr>
        <b/>
        <sz val="11"/>
        <color rgb="FF000000"/>
        <rFont val="Calibri"/>
      </rPr>
      <t>FRANCIS, Brandone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 xml:space="preserve"> TAURINOS</t>
    </r>
  </si>
  <si>
    <r>
      <t xml:space="preserve">RUDD, Victor  </t>
    </r>
    <r>
      <rPr>
        <b/>
        <sz val="8"/>
        <color theme="0"/>
        <rFont val="Calibri"/>
        <family val="2"/>
        <scheme val="minor"/>
      </rPr>
      <t>SPARTANS</t>
    </r>
  </si>
  <si>
    <t>31.7</t>
  </si>
  <si>
    <r>
      <t xml:space="preserve">WILLIAMS, George </t>
    </r>
    <r>
      <rPr>
        <b/>
        <sz val="8"/>
        <color theme="0"/>
        <rFont val="Calibri"/>
        <family val="2"/>
        <scheme val="minor"/>
      </rPr>
      <t>MARINOS</t>
    </r>
  </si>
  <si>
    <r>
      <t xml:space="preserve">MONTERO, Luis   </t>
    </r>
    <r>
      <rPr>
        <b/>
        <sz val="8"/>
        <color theme="0"/>
        <rFont val="Calibri"/>
        <family val="2"/>
        <scheme val="minor"/>
      </rPr>
      <t>COCODRILOS</t>
    </r>
    <r>
      <rPr>
        <b/>
        <sz val="8"/>
        <color rgb="FFFF0000"/>
        <rFont val="Calibri"/>
        <family val="2"/>
        <scheme val="minor"/>
      </rPr>
      <t xml:space="preserve"> </t>
    </r>
  </si>
  <si>
    <t>30.1</t>
  </si>
  <si>
    <r>
      <t xml:space="preserve">BRACEY, Lisander  </t>
    </r>
    <r>
      <rPr>
        <b/>
        <sz val="8"/>
        <color theme="0"/>
        <rFont val="Calibri"/>
        <family val="2"/>
        <scheme val="minor"/>
      </rPr>
      <t>CANGREJEROS</t>
    </r>
  </si>
  <si>
    <t>34.8</t>
  </si>
  <si>
    <r>
      <t xml:space="preserve">GALLOWAY, Ramon   </t>
    </r>
    <r>
      <rPr>
        <b/>
        <sz val="8"/>
        <color theme="0"/>
        <rFont val="Calibri"/>
        <family val="2"/>
        <scheme val="minor"/>
      </rPr>
      <t>SPARTANS</t>
    </r>
  </si>
  <si>
    <t>31.4</t>
  </si>
  <si>
    <r>
      <t xml:space="preserve">JOHNSON, Anthony  </t>
    </r>
    <r>
      <rPr>
        <b/>
        <sz val="8"/>
        <color theme="0"/>
        <rFont val="Calibri"/>
        <family val="2"/>
        <scheme val="minor"/>
      </rPr>
      <t>TAURINOS</t>
    </r>
  </si>
  <si>
    <t>32.0</t>
  </si>
  <si>
    <r>
      <t xml:space="preserve">DELPH, Ronald  </t>
    </r>
    <r>
      <rPr>
        <b/>
        <sz val="8"/>
        <color theme="0"/>
        <rFont val="Calibri"/>
        <family val="2"/>
        <scheme val="minor"/>
      </rPr>
      <t>MARINOS</t>
    </r>
  </si>
  <si>
    <t>29.8</t>
  </si>
  <si>
    <r>
      <rPr>
        <b/>
        <sz val="11"/>
        <color rgb="FF000000"/>
        <rFont val="Calibri"/>
      </rPr>
      <t>WINTERING, Alec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GAITEROS</t>
    </r>
  </si>
  <si>
    <r>
      <t xml:space="preserve">GRAHAM, Delwan  </t>
    </r>
    <r>
      <rPr>
        <b/>
        <sz val="8"/>
        <color theme="0"/>
        <rFont val="Calibri"/>
        <family val="2"/>
        <scheme val="minor"/>
      </rPr>
      <t>LLANEROS</t>
    </r>
  </si>
  <si>
    <t>27.1</t>
  </si>
  <si>
    <r>
      <rPr>
        <b/>
        <sz val="11"/>
        <color rgb="FF000000"/>
        <rFont val="Calibri"/>
      </rPr>
      <t xml:space="preserve">FAMOUS, Jarrid </t>
    </r>
    <r>
      <rPr>
        <b/>
        <sz val="8"/>
        <color rgb="FFFFFFFF"/>
        <rFont val="Calibri"/>
      </rPr>
      <t>BRONCOS</t>
    </r>
  </si>
  <si>
    <t>27.8</t>
  </si>
  <si>
    <r>
      <t xml:space="preserve">VILDOZA, Leandro  </t>
    </r>
    <r>
      <rPr>
        <b/>
        <sz val="8"/>
        <color theme="0"/>
        <rFont val="Calibri"/>
        <family val="2"/>
        <scheme val="minor"/>
      </rPr>
      <t>SUPERSONICOS</t>
    </r>
  </si>
  <si>
    <t>33.0</t>
  </si>
  <si>
    <r>
      <t xml:space="preserve">JHONSON, Melvin  </t>
    </r>
    <r>
      <rPr>
        <b/>
        <sz val="8"/>
        <color theme="0"/>
        <rFont val="Calibri"/>
        <family val="2"/>
        <scheme val="minor"/>
      </rPr>
      <t>GUAIQUERIES</t>
    </r>
  </si>
  <si>
    <t>27.3</t>
  </si>
  <si>
    <r>
      <t xml:space="preserve">ABDUL ALEEM, Mussa </t>
    </r>
    <r>
      <rPr>
        <b/>
        <sz val="11"/>
        <color rgb="FFFF000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BRONCOS</t>
    </r>
  </si>
  <si>
    <t>14.8</t>
  </si>
  <si>
    <r>
      <rPr>
        <b/>
        <sz val="11"/>
        <color rgb="FF000000"/>
        <rFont val="Calibri"/>
      </rPr>
      <t>MAITLAND, Malik</t>
    </r>
    <r>
      <rPr>
        <b/>
        <sz val="11"/>
        <color rgb="FFFF0000"/>
        <rFont val="Calibri"/>
      </rPr>
      <t xml:space="preserve">  </t>
    </r>
    <r>
      <rPr>
        <b/>
        <sz val="8"/>
        <color rgb="FFFFFFFF"/>
        <rFont val="Calibri"/>
      </rPr>
      <t>GAITEROS</t>
    </r>
  </si>
  <si>
    <t>28.5</t>
  </si>
  <si>
    <r>
      <rPr>
        <b/>
        <sz val="11"/>
        <color rgb="FF000000"/>
        <rFont val="Calibri"/>
      </rPr>
      <t>COLEBY, Dwight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 xml:space="preserve"> HEROES</t>
    </r>
  </si>
  <si>
    <t>24.0</t>
  </si>
  <si>
    <r>
      <t xml:space="preserve">WARREN, Willy  </t>
    </r>
    <r>
      <rPr>
        <b/>
        <sz val="8"/>
        <color theme="0"/>
        <rFont val="Calibri"/>
        <family val="2"/>
        <scheme val="minor"/>
      </rPr>
      <t>PIRATAS</t>
    </r>
  </si>
  <si>
    <r>
      <t xml:space="preserve">ARENGO, Juan  </t>
    </r>
    <r>
      <rPr>
        <b/>
        <sz val="8"/>
        <color theme="0"/>
        <rFont val="Calibri"/>
        <family val="2"/>
        <scheme val="minor"/>
      </rPr>
      <t>CENTAUROS</t>
    </r>
  </si>
  <si>
    <t>31.2</t>
  </si>
  <si>
    <r>
      <t xml:space="preserve">VASILEIADIS, Kostas  </t>
    </r>
    <r>
      <rPr>
        <b/>
        <sz val="8"/>
        <color theme="0"/>
        <rFont val="Calibri"/>
        <family val="2"/>
        <scheme val="minor"/>
      </rPr>
      <t>MARINOS</t>
    </r>
  </si>
  <si>
    <r>
      <rPr>
        <b/>
        <sz val="11"/>
        <color rgb="FF000000"/>
        <rFont val="Calibri"/>
      </rPr>
      <t xml:space="preserve">ROMANO, Nicolás   </t>
    </r>
    <r>
      <rPr>
        <b/>
        <sz val="8"/>
        <color rgb="FFFFFFFF"/>
        <rFont val="Calibri"/>
      </rPr>
      <t>GLADIADORRES</t>
    </r>
  </si>
  <si>
    <r>
      <rPr>
        <b/>
        <sz val="11"/>
        <color rgb="FF000000"/>
        <rFont val="Calibri"/>
      </rPr>
      <t xml:space="preserve">WADELL, Nicholas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CANGREJEROS</t>
    </r>
  </si>
  <si>
    <r>
      <t xml:space="preserve">COUTIN, Neysser  </t>
    </r>
    <r>
      <rPr>
        <b/>
        <sz val="8"/>
        <color theme="0"/>
        <rFont val="Calibri"/>
        <family val="2"/>
        <scheme val="minor"/>
      </rPr>
      <t>GUAROS</t>
    </r>
  </si>
  <si>
    <t>31.3</t>
  </si>
  <si>
    <r>
      <rPr>
        <b/>
        <sz val="11"/>
        <color rgb="FF000000"/>
        <rFont val="Calibri"/>
      </rPr>
      <t>EARLY, Cleanthony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>GLADIADORES</t>
    </r>
  </si>
  <si>
    <t>24.7</t>
  </si>
  <si>
    <r>
      <rPr>
        <b/>
        <sz val="11"/>
        <color rgb="FF000000"/>
        <rFont val="Calibri"/>
      </rPr>
      <t xml:space="preserve">BERRY, Davion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HEROES</t>
    </r>
  </si>
  <si>
    <r>
      <t xml:space="preserve">GILDER, Tray </t>
    </r>
    <r>
      <rPr>
        <b/>
        <sz val="8"/>
        <color rgb="FFFF000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GIGANTES</t>
    </r>
  </si>
  <si>
    <t>26.7</t>
  </si>
  <si>
    <r>
      <t xml:space="preserve">SOLANO, Gelvis        </t>
    </r>
    <r>
      <rPr>
        <b/>
        <sz val="8"/>
        <color theme="0"/>
        <rFont val="Calibri"/>
        <family val="2"/>
        <scheme val="minor"/>
      </rPr>
      <t>COCODRILOS</t>
    </r>
  </si>
  <si>
    <t>27.6</t>
  </si>
  <si>
    <r>
      <t xml:space="preserve">MORRISON, Dominique  </t>
    </r>
    <r>
      <rPr>
        <b/>
        <sz val="8"/>
        <color theme="0"/>
        <rFont val="Calibri"/>
        <family val="2"/>
        <scheme val="minor"/>
      </rPr>
      <t>CENTAUROS</t>
    </r>
  </si>
  <si>
    <t>31.0</t>
  </si>
  <si>
    <r>
      <t xml:space="preserve">FARIED, Kenneth  </t>
    </r>
    <r>
      <rPr>
        <b/>
        <sz val="8"/>
        <color theme="0"/>
        <rFont val="Calibri"/>
        <family val="2"/>
        <scheme val="minor"/>
      </rPr>
      <t>GUAIQUERIES</t>
    </r>
  </si>
  <si>
    <t>27.0</t>
  </si>
  <si>
    <r>
      <rPr>
        <b/>
        <sz val="11"/>
        <color rgb="FF000000"/>
        <rFont val="Calibri"/>
      </rPr>
      <t>WARE, Dustin</t>
    </r>
    <r>
      <rPr>
        <b/>
        <sz val="11"/>
        <color rgb="FFFFFFFF"/>
        <rFont val="Calibri"/>
      </rPr>
      <t xml:space="preserve">    </t>
    </r>
    <r>
      <rPr>
        <b/>
        <sz val="8"/>
        <color rgb="FFFFFFFF"/>
        <rFont val="Calibri"/>
      </rPr>
      <t>TROTAMUNDOS</t>
    </r>
  </si>
  <si>
    <r>
      <rPr>
        <b/>
        <sz val="11"/>
        <color rgb="FF000000"/>
        <rFont val="Calibri"/>
      </rPr>
      <t xml:space="preserve">ALI, Hameed 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BRILLANTES</t>
    </r>
  </si>
  <si>
    <t>29.1</t>
  </si>
  <si>
    <r>
      <rPr>
        <b/>
        <sz val="11"/>
        <color rgb="FF000000"/>
        <rFont val="Calibri"/>
      </rPr>
      <t xml:space="preserve">THORNTON, Al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TROTAMUNDOS</t>
    </r>
  </si>
  <si>
    <t>18.3</t>
  </si>
  <si>
    <r>
      <rPr>
        <b/>
        <sz val="11"/>
        <color rgb="FF000000"/>
        <rFont val="Calibri"/>
      </rPr>
      <t xml:space="preserve">JOHNSON, Brandon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GAITEROS</t>
    </r>
  </si>
  <si>
    <r>
      <t xml:space="preserve">MCCLENTON, Deion  </t>
    </r>
    <r>
      <rPr>
        <b/>
        <sz val="8"/>
        <color theme="0"/>
        <rFont val="Calibri"/>
        <family val="2"/>
        <scheme val="minor"/>
      </rPr>
      <t>SPARTANS</t>
    </r>
  </si>
  <si>
    <t>0</t>
  </si>
  <si>
    <t>25.5</t>
  </si>
  <si>
    <r>
      <rPr>
        <b/>
        <sz val="11"/>
        <color rgb="FF000000"/>
        <rFont val="Calibri"/>
      </rPr>
      <t xml:space="preserve">GILBERT, Marcus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HEROES</t>
    </r>
  </si>
  <si>
    <t>32.7</t>
  </si>
  <si>
    <r>
      <t xml:space="preserve">SHAW, Jarred  </t>
    </r>
    <r>
      <rPr>
        <b/>
        <sz val="8"/>
        <color theme="0"/>
        <rFont val="Calibri"/>
        <family val="2"/>
        <scheme val="minor"/>
      </rPr>
      <t>GIGANTES</t>
    </r>
  </si>
  <si>
    <t>23.0</t>
  </si>
  <si>
    <r>
      <t xml:space="preserve">JOHNSON, Roquez </t>
    </r>
    <r>
      <rPr>
        <b/>
        <sz val="8"/>
        <color theme="0"/>
        <rFont val="Calibri"/>
        <family val="2"/>
        <scheme val="minor"/>
      </rPr>
      <t>GIGANTES</t>
    </r>
  </si>
  <si>
    <t>25.4</t>
  </si>
  <si>
    <r>
      <rPr>
        <b/>
        <sz val="11"/>
        <color rgb="FF000000"/>
        <rFont val="Calibri"/>
      </rPr>
      <t xml:space="preserve">FREDERICK, Erik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>CANGREJEROS</t>
    </r>
  </si>
  <si>
    <t>29.5</t>
  </si>
  <si>
    <r>
      <t xml:space="preserve">FERNÁNDEZ, Martín  </t>
    </r>
    <r>
      <rPr>
        <b/>
        <sz val="8"/>
        <color theme="0"/>
        <rFont val="Calibri"/>
        <family val="2"/>
        <scheme val="minor"/>
      </rPr>
      <t>CENTAUROS</t>
    </r>
  </si>
  <si>
    <t>30.7</t>
  </si>
  <si>
    <r>
      <t xml:space="preserve">DAVIS, Dwayne  </t>
    </r>
    <r>
      <rPr>
        <b/>
        <sz val="8"/>
        <color theme="0"/>
        <rFont val="Calibri"/>
        <family val="2"/>
        <scheme val="minor"/>
      </rPr>
      <t>TROTAMUNDOS</t>
    </r>
  </si>
  <si>
    <r>
      <t xml:space="preserve">RAINES, Cadarian  </t>
    </r>
    <r>
      <rPr>
        <b/>
        <sz val="8"/>
        <color theme="0"/>
        <rFont val="Calibri"/>
        <family val="2"/>
        <scheme val="minor"/>
      </rPr>
      <t>SUPERSONICOS</t>
    </r>
  </si>
  <si>
    <t>27.7</t>
  </si>
  <si>
    <r>
      <t xml:space="preserve">YOUNG, Anthony  </t>
    </r>
    <r>
      <rPr>
        <b/>
        <sz val="8"/>
        <color theme="0"/>
        <rFont val="Calibri"/>
        <family val="2"/>
        <scheme val="minor"/>
      </rPr>
      <t>GUAIQUERIES</t>
    </r>
  </si>
  <si>
    <t>24.5</t>
  </si>
  <si>
    <r>
      <rPr>
        <b/>
        <sz val="11"/>
        <color rgb="FF000000"/>
        <rFont val="Calibri"/>
      </rPr>
      <t>HICKS, Tony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 xml:space="preserve"> GIGANTES</t>
    </r>
  </si>
  <si>
    <t>21.9</t>
  </si>
  <si>
    <r>
      <t xml:space="preserve">MIGNANI, Sebastián   </t>
    </r>
    <r>
      <rPr>
        <b/>
        <sz val="8"/>
        <color theme="0"/>
        <rFont val="Calibri"/>
        <family val="2"/>
        <scheme val="minor"/>
      </rPr>
      <t>LLANEROS</t>
    </r>
  </si>
  <si>
    <r>
      <t xml:space="preserve">VICK, Lageral </t>
    </r>
    <r>
      <rPr>
        <b/>
        <sz val="8"/>
        <color rgb="FFFF000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SPARTANS</t>
    </r>
  </si>
  <si>
    <r>
      <rPr>
        <b/>
        <sz val="11"/>
        <color rgb="FF000000"/>
        <rFont val="Calibri"/>
      </rPr>
      <t>FIELDS, Tamyrik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PIRATAS</t>
    </r>
  </si>
  <si>
    <t>25.0</t>
  </si>
  <si>
    <r>
      <rPr>
        <b/>
        <sz val="11"/>
        <color rgb="FF000000"/>
        <rFont val="Calibri"/>
      </rPr>
      <t xml:space="preserve">STONE, Diamond </t>
    </r>
    <r>
      <rPr>
        <b/>
        <sz val="8"/>
        <color rgb="FFFFFFFF"/>
        <rFont val="Calibri"/>
      </rPr>
      <t>COCODRILOS</t>
    </r>
  </si>
  <si>
    <t>17.3</t>
  </si>
  <si>
    <r>
      <rPr>
        <b/>
        <sz val="11"/>
        <color rgb="FF000000"/>
        <rFont val="Calibri"/>
      </rPr>
      <t>UZOH, Ben</t>
    </r>
    <r>
      <rPr>
        <b/>
        <sz val="11"/>
        <color rgb="FFFFFFFF"/>
        <rFont val="Calibri"/>
      </rPr>
      <t xml:space="preserve">   </t>
    </r>
    <r>
      <rPr>
        <b/>
        <sz val="8"/>
        <color rgb="FFFFFFFF"/>
        <rFont val="Calibri"/>
      </rPr>
      <t>MARINOS</t>
    </r>
  </si>
  <si>
    <t>23.3</t>
  </si>
  <si>
    <r>
      <rPr>
        <b/>
        <sz val="11"/>
        <color rgb="FF000000"/>
        <rFont val="Calibri"/>
      </rPr>
      <t xml:space="preserve">HAGINS, Jamelle </t>
    </r>
    <r>
      <rPr>
        <b/>
        <sz val="8"/>
        <color rgb="FFFFFFFF"/>
        <rFont val="Calibri"/>
      </rPr>
      <t>GUAIQUERÍES</t>
    </r>
  </si>
  <si>
    <t>21.3</t>
  </si>
  <si>
    <r>
      <rPr>
        <b/>
        <sz val="11"/>
        <color rgb="FF000000"/>
        <rFont val="Calibri"/>
      </rPr>
      <t>STEPHENS, Menas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CANGREJEROS</t>
    </r>
  </si>
  <si>
    <r>
      <rPr>
        <b/>
        <sz val="11"/>
        <color rgb="FF000000"/>
        <rFont val="Calibri"/>
      </rPr>
      <t>RASIO, Lisandro</t>
    </r>
    <r>
      <rPr>
        <b/>
        <sz val="11"/>
        <color rgb="FFFF0000"/>
        <rFont val="Calibri"/>
      </rPr>
      <t xml:space="preserve"> </t>
    </r>
    <r>
      <rPr>
        <b/>
        <sz val="8"/>
        <color rgb="FFFFFFFF"/>
        <rFont val="Calibri"/>
      </rPr>
      <t>BRILLANTES</t>
    </r>
  </si>
  <si>
    <r>
      <t xml:space="preserve">PAREJO, Luis  </t>
    </r>
    <r>
      <rPr>
        <b/>
        <sz val="8"/>
        <color theme="0"/>
        <rFont val="Calibri"/>
        <family val="2"/>
        <scheme val="minor"/>
      </rPr>
      <t>GAITEROS</t>
    </r>
  </si>
  <si>
    <t>26.6</t>
  </si>
  <si>
    <r>
      <t xml:space="preserve">POLANCO, Bernardo  </t>
    </r>
    <r>
      <rPr>
        <b/>
        <sz val="8"/>
        <color theme="0"/>
        <rFont val="Calibri"/>
        <family val="2"/>
        <scheme val="minor"/>
      </rPr>
      <t>SUPERSONICOS</t>
    </r>
  </si>
  <si>
    <t>22.2</t>
  </si>
  <si>
    <t xml:space="preserve">IBEKWE, Ekenechukwu </t>
  </si>
  <si>
    <t>14.3</t>
  </si>
  <si>
    <r>
      <rPr>
        <b/>
        <sz val="11"/>
        <color rgb="FF000000"/>
        <rFont val="Calibri"/>
      </rPr>
      <t xml:space="preserve">SIMPSON, Diamond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>TROTAMUNDOS</t>
    </r>
  </si>
  <si>
    <t>20.3</t>
  </si>
  <si>
    <r>
      <t xml:space="preserve">FULLER, Kyle  </t>
    </r>
    <r>
      <rPr>
        <b/>
        <sz val="8"/>
        <color theme="0"/>
        <rFont val="Calibri"/>
        <family val="2"/>
        <scheme val="minor"/>
      </rPr>
      <t>BRILLANTES</t>
    </r>
  </si>
  <si>
    <r>
      <rPr>
        <b/>
        <sz val="11"/>
        <color rgb="FF000000"/>
        <rFont val="Calibri"/>
      </rPr>
      <t xml:space="preserve">COIMBRA, Andre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LLANEROS</t>
    </r>
  </si>
  <si>
    <r>
      <rPr>
        <b/>
        <sz val="11"/>
        <color rgb="FF000000"/>
        <rFont val="Calibri"/>
      </rPr>
      <t xml:space="preserve">POLLYDORE, Jamal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>GAITEROS</t>
    </r>
  </si>
  <si>
    <r>
      <rPr>
        <b/>
        <sz val="11"/>
        <color rgb="FF000000"/>
        <rFont val="Calibri"/>
      </rPr>
      <t xml:space="preserve">BARRO, Mouhamed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 xml:space="preserve"> GAITEROS</t>
    </r>
  </si>
  <si>
    <t>37.5</t>
  </si>
  <si>
    <r>
      <rPr>
        <b/>
        <sz val="11"/>
        <color rgb="FF000000"/>
        <rFont val="Calibri"/>
      </rPr>
      <t xml:space="preserve">RIVERO, Juan Manuel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 xml:space="preserve"> PIRATAS</t>
    </r>
  </si>
  <si>
    <t>25.2</t>
  </si>
  <si>
    <r>
      <rPr>
        <b/>
        <sz val="11"/>
        <color rgb="FF000000"/>
        <rFont val="Calibri"/>
      </rPr>
      <t>NARCIS, Jabari</t>
    </r>
    <r>
      <rPr>
        <b/>
        <sz val="11"/>
        <color rgb="FFFF0000"/>
        <rFont val="Calibri"/>
      </rPr>
      <t xml:space="preserve">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BRONCOS</t>
    </r>
  </si>
  <si>
    <t>24.2</t>
  </si>
  <si>
    <r>
      <rPr>
        <b/>
        <sz val="11"/>
        <color rgb="FF000000"/>
        <rFont val="Calibri"/>
      </rPr>
      <t xml:space="preserve">HENRY, Phil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 xml:space="preserve"> SPARTANS</t>
    </r>
  </si>
  <si>
    <t>22.0</t>
  </si>
  <si>
    <r>
      <t xml:space="preserve">MILOSEVIC, Nemanja   </t>
    </r>
    <r>
      <rPr>
        <b/>
        <sz val="8"/>
        <color theme="0"/>
        <rFont val="Calibri"/>
        <family val="2"/>
        <scheme val="minor"/>
      </rPr>
      <t>PIRATAS</t>
    </r>
  </si>
  <si>
    <t>21.8</t>
  </si>
  <si>
    <r>
      <t xml:space="preserve">ROLON, Tyquan  </t>
    </r>
    <r>
      <rPr>
        <b/>
        <sz val="8"/>
        <color theme="0"/>
        <rFont val="Calibri"/>
        <family val="2"/>
        <scheme val="minor"/>
      </rPr>
      <t>GLADIADORES</t>
    </r>
  </si>
  <si>
    <t>23.7</t>
  </si>
  <si>
    <r>
      <rPr>
        <b/>
        <sz val="11"/>
        <color rgb="FF000000"/>
        <rFont val="Calibri"/>
      </rPr>
      <t xml:space="preserve">CHRISTMAS, Rakeen </t>
    </r>
    <r>
      <rPr>
        <b/>
        <sz val="8"/>
        <color rgb="FFFFFFFF"/>
        <rFont val="Calibri"/>
      </rPr>
      <t>COCODRILOS</t>
    </r>
  </si>
  <si>
    <t>13.7</t>
  </si>
  <si>
    <r>
      <rPr>
        <b/>
        <sz val="11"/>
        <color rgb="FF000000"/>
        <rFont val="Calibri"/>
      </rPr>
      <t xml:space="preserve">GOLDEN, Ashford 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BRILLANTES</t>
    </r>
  </si>
  <si>
    <t>17.7</t>
  </si>
  <si>
    <r>
      <t xml:space="preserve">MENDES, Gabriel  </t>
    </r>
    <r>
      <rPr>
        <b/>
        <sz val="8"/>
        <color theme="0"/>
        <rFont val="Calibri"/>
        <family val="2"/>
        <scheme val="minor"/>
      </rPr>
      <t>BRONCOS</t>
    </r>
  </si>
  <si>
    <t>17.4</t>
  </si>
  <si>
    <r>
      <rPr>
        <b/>
        <sz val="11"/>
        <color rgb="FF000000"/>
        <rFont val="Calibri"/>
      </rPr>
      <t>MOSQUERA, Yesid</t>
    </r>
    <r>
      <rPr>
        <b/>
        <sz val="11"/>
        <color rgb="FFFF0000"/>
        <rFont val="Calibri"/>
      </rPr>
      <t xml:space="preserve">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>GAITEROS</t>
    </r>
  </si>
  <si>
    <t>28.8</t>
  </si>
  <si>
    <r>
      <t xml:space="preserve">SUTTON, Dominique  </t>
    </r>
    <r>
      <rPr>
        <b/>
        <sz val="8"/>
        <color theme="0"/>
        <rFont val="Calibri"/>
        <family val="2"/>
        <scheme val="minor"/>
      </rPr>
      <t>GUAIQUERIES</t>
    </r>
  </si>
  <si>
    <t>18.0</t>
  </si>
  <si>
    <r>
      <rPr>
        <b/>
        <sz val="11"/>
        <color rgb="FF000000"/>
        <rFont val="Calibri"/>
      </rPr>
      <t>AUSTIN, Waverly</t>
    </r>
    <r>
      <rPr>
        <b/>
        <sz val="11"/>
        <color rgb="FFFF0000"/>
        <rFont val="Calibri"/>
      </rPr>
      <t xml:space="preserve"> 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COCODRILOS</t>
    </r>
  </si>
  <si>
    <t>15.0</t>
  </si>
  <si>
    <r>
      <rPr>
        <b/>
        <sz val="11"/>
        <color rgb="FF000000"/>
        <rFont val="Calibri"/>
      </rPr>
      <t xml:space="preserve">PIÑERO, Patricio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>LLANEROS</t>
    </r>
  </si>
  <si>
    <t>15.2</t>
  </si>
  <si>
    <r>
      <rPr>
        <b/>
        <sz val="11"/>
        <color rgb="FF000000"/>
        <rFont val="Calibri"/>
      </rPr>
      <t xml:space="preserve">LARD, Cameron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 xml:space="preserve"> CENTAUROS</t>
    </r>
  </si>
  <si>
    <t>15.6</t>
  </si>
  <si>
    <r>
      <t xml:space="preserve">LASTER, Michael           </t>
    </r>
    <r>
      <rPr>
        <b/>
        <sz val="8"/>
        <color theme="0"/>
        <rFont val="Calibri"/>
        <family val="2"/>
        <scheme val="minor"/>
      </rPr>
      <t>TOROS</t>
    </r>
  </si>
  <si>
    <t>3.4</t>
  </si>
  <si>
    <r>
      <t xml:space="preserve">BASSETT, O'Darian </t>
    </r>
    <r>
      <rPr>
        <b/>
        <sz val="8"/>
        <color rgb="FFFF0000"/>
        <rFont val="Calibri"/>
        <family val="2"/>
        <scheme val="minor"/>
      </rPr>
      <t xml:space="preserve"> </t>
    </r>
    <r>
      <rPr>
        <b/>
        <sz val="8"/>
        <color theme="0"/>
        <rFont val="Calibri"/>
        <family val="2"/>
        <scheme val="minor"/>
      </rPr>
      <t>GUAIQUERIES</t>
    </r>
  </si>
  <si>
    <t>18.4</t>
  </si>
  <si>
    <r>
      <t xml:space="preserve">WHITE, Decensae  </t>
    </r>
    <r>
      <rPr>
        <b/>
        <sz val="8"/>
        <color theme="0"/>
        <rFont val="Calibri"/>
        <family val="2"/>
        <scheme val="minor"/>
      </rPr>
      <t>BRILLANTES</t>
    </r>
  </si>
  <si>
    <t>17.0</t>
  </si>
  <si>
    <r>
      <rPr>
        <b/>
        <sz val="11"/>
        <color rgb="FF000000"/>
        <rFont val="Calibri"/>
      </rPr>
      <t>THOMAS, Elijah</t>
    </r>
    <r>
      <rPr>
        <b/>
        <sz val="11"/>
        <color rgb="FFFFFFFF"/>
        <rFont val="Calibri"/>
      </rPr>
      <t xml:space="preserve">   </t>
    </r>
    <r>
      <rPr>
        <b/>
        <sz val="8"/>
        <color rgb="FFFFFFFF"/>
        <rFont val="Calibri"/>
      </rPr>
      <t>GLADIADORES</t>
    </r>
  </si>
  <si>
    <t>8.0</t>
  </si>
  <si>
    <r>
      <rPr>
        <b/>
        <sz val="11"/>
        <color rgb="FF000000"/>
        <rFont val="Calibri"/>
      </rPr>
      <t>GARCÍA, Diego</t>
    </r>
    <r>
      <rPr>
        <b/>
        <sz val="11"/>
        <color rgb="FFFFFFFF"/>
        <rFont val="Calibri"/>
      </rPr>
      <t xml:space="preserve">   </t>
    </r>
    <r>
      <rPr>
        <b/>
        <sz val="8"/>
        <color rgb="FFFFFFFF"/>
        <rFont val="Calibri"/>
      </rPr>
      <t xml:space="preserve">    SPARTANS</t>
    </r>
  </si>
  <si>
    <t>8.3</t>
  </si>
  <si>
    <r>
      <t xml:space="preserve">COULIBALY, Moussa  </t>
    </r>
    <r>
      <rPr>
        <b/>
        <sz val="8"/>
        <color theme="0"/>
        <rFont val="Calibri"/>
        <family val="2"/>
        <scheme val="minor"/>
      </rPr>
      <t>TOROS</t>
    </r>
  </si>
  <si>
    <t>7.1</t>
  </si>
  <si>
    <r>
      <rPr>
        <b/>
        <sz val="11"/>
        <color rgb="FF000000"/>
        <rFont val="Calibri"/>
      </rPr>
      <t xml:space="preserve">WILLIAMS, Matt  </t>
    </r>
    <r>
      <rPr>
        <b/>
        <sz val="11"/>
        <color rgb="FFFFFFFF"/>
        <rFont val="Calibri"/>
      </rPr>
      <t xml:space="preserve"> </t>
    </r>
    <r>
      <rPr>
        <b/>
        <sz val="8"/>
        <color rgb="FFFFFFFF"/>
        <rFont val="Calibri"/>
      </rPr>
      <t>SUPERSONICOS</t>
    </r>
  </si>
  <si>
    <r>
      <rPr>
        <b/>
        <sz val="11"/>
        <color rgb="FF000000"/>
        <rFont val="Calibri"/>
      </rPr>
      <t>ROSS, Richard</t>
    </r>
    <r>
      <rPr>
        <b/>
        <sz val="11"/>
        <color rgb="FFFFFFFF"/>
        <rFont val="Calibri"/>
      </rPr>
      <t xml:space="preserve">  </t>
    </r>
    <r>
      <rPr>
        <b/>
        <sz val="8"/>
        <color rgb="FFFFFFFF"/>
        <rFont val="Calibri"/>
      </rPr>
      <t>MARINOS</t>
    </r>
  </si>
  <si>
    <t>21.0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</si>
</sst>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3"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rgb="FF00206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8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24"/>
      <color theme="0"/>
      <name val="Bernard MT Condensed"/>
      <family val="1"/>
    </font>
    <font>
      <sz val="22"/>
      <color theme="0"/>
      <name val="Calibri Light"/>
      <family val="1"/>
      <scheme val="major"/>
    </font>
    <font>
      <b/>
      <sz val="11"/>
      <color rgb="FF000000"/>
      <name val="Calibri"/>
    </font>
    <font>
      <b/>
      <sz val="11"/>
      <color rgb="FFFFFFFF"/>
      <name val="Calibri"/>
    </font>
    <font>
      <b/>
      <sz val="11"/>
      <color rgb="FFFF0000"/>
      <name val="Calibri"/>
    </font>
    <font>
      <b/>
      <sz val="8"/>
      <color rgb="FFFFFFFF"/>
      <name val="Calibri"/>
    </font>
    <font>
      <b/>
      <sz val="11"/>
      <name val="Calibri"/>
    </font>
    <font>
      <b/>
      <sz val="8"/>
      <color rgb="FFFF0000"/>
      <name val="Calibri"/>
    </font>
    <font>
      <b/>
      <sz val="9"/>
      <color rgb="FFFFFFFF"/>
      <name val="Calibri"/>
    </font>
    <font>
      <b/>
      <sz val="11"/>
      <color theme="0"/>
      <name val="Calibri"/>
    </font>
    <font>
      <sz val="8"/>
      <color theme="1"/>
      <name val="Arial"/>
      <family val="2"/>
    </font>
    <font>
      <b/>
      <sz val="11"/>
      <color rgb="FF002060"/>
      <name val="Calibri"/>
      <family val="2"/>
      <scheme val="minor"/>
    </font>
    <font>
      <b/>
      <sz val="8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A9712"/>
        <bgColor indexed="64"/>
      </patternFill>
    </fill>
    <fill>
      <patternFill patternType="solid">
        <fgColor rgb="FFFAB840"/>
        <bgColor indexed="64"/>
      </patternFill>
    </fill>
    <fill>
      <patternFill patternType="solid">
        <fgColor rgb="FF000048"/>
        <bgColor indexed="64"/>
      </patternFill>
    </fill>
    <fill>
      <patternFill patternType="solid">
        <fgColor theme="5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 style="double">
        <color rgb="FF000000"/>
      </bottom>
      <diagonal/>
    </border>
    <border>
      <left/>
      <right style="thin">
        <color rgb="FF000000"/>
      </right>
      <top/>
      <bottom style="double">
        <color rgb="FF000000"/>
      </bottom>
      <diagonal/>
    </border>
    <border>
      <left/>
      <right/>
      <top style="thin">
        <color indexed="64"/>
      </top>
      <bottom style="double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rgb="FF000000"/>
      </bottom>
      <diagonal/>
    </border>
    <border>
      <left style="thin">
        <color indexed="64"/>
      </left>
      <right/>
      <top style="thin">
        <color indexed="64"/>
      </top>
      <bottom style="double">
        <color rgb="FF000000"/>
      </bottom>
      <diagonal/>
    </border>
    <border>
      <left style="medium">
        <color rgb="FF000000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thin">
        <color indexed="64"/>
      </right>
      <top/>
      <bottom style="double">
        <color rgb="FF000000"/>
      </bottom>
      <diagonal/>
    </border>
    <border>
      <left style="thin">
        <color indexed="64"/>
      </left>
      <right style="medium">
        <color rgb="FF000000"/>
      </right>
      <top/>
      <bottom style="double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 style="thin">
        <color indexed="64"/>
      </top>
      <bottom style="double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double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double">
        <color rgb="FF000000"/>
      </bottom>
      <diagonal/>
    </border>
    <border>
      <left/>
      <right style="medium">
        <color rgb="FF000000"/>
      </right>
      <top/>
      <bottom style="thin">
        <color indexed="64"/>
      </bottom>
      <diagonal/>
    </border>
    <border>
      <left/>
      <right style="medium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rgb="FF000000"/>
      </bottom>
      <diagonal/>
    </border>
    <border>
      <left style="thin">
        <color indexed="64"/>
      </left>
      <right/>
      <top style="thin">
        <color indexed="64"/>
      </top>
      <bottom style="medium">
        <color rgb="FF000000"/>
      </bottom>
      <diagonal/>
    </border>
    <border>
      <left/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3">
    <xf numFmtId="0" fontId="0" fillId="0" borderId="0" xfId="0"/>
    <xf numFmtId="0" fontId="0" fillId="0" borderId="0" xfId="0" applyAlignment="1">
      <alignment horizontal="center"/>
    </xf>
    <xf numFmtId="0" fontId="9" fillId="5" borderId="6" xfId="0" applyFont="1" applyFill="1" applyBorder="1" applyAlignment="1">
      <alignment horizontal="center" vertical="center" wrapText="1"/>
    </xf>
    <xf numFmtId="0" fontId="9" fillId="5" borderId="7" xfId="0" applyFont="1" applyFill="1" applyBorder="1" applyAlignment="1">
      <alignment horizontal="center" vertical="center" wrapText="1"/>
    </xf>
    <xf numFmtId="0" fontId="9" fillId="5" borderId="8" xfId="0" applyFont="1" applyFill="1" applyBorder="1" applyAlignment="1">
      <alignment horizontal="center" vertical="center" wrapText="1"/>
    </xf>
    <xf numFmtId="0" fontId="9" fillId="5" borderId="9" xfId="0" applyFont="1" applyFill="1" applyBorder="1" applyAlignment="1">
      <alignment horizontal="center" vertical="center" wrapText="1"/>
    </xf>
    <xf numFmtId="0" fontId="9" fillId="5" borderId="10" xfId="0" applyFont="1" applyFill="1" applyBorder="1" applyAlignment="1">
      <alignment horizontal="center" vertical="center" wrapText="1"/>
    </xf>
    <xf numFmtId="0" fontId="9" fillId="5" borderId="11" xfId="0" applyFont="1" applyFill="1" applyBorder="1" applyAlignment="1">
      <alignment horizontal="center" vertical="center" wrapText="1"/>
    </xf>
    <xf numFmtId="0" fontId="9" fillId="5" borderId="13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left" vertical="center" wrapText="1"/>
    </xf>
    <xf numFmtId="0" fontId="16" fillId="2" borderId="14" xfId="0" applyFont="1" applyFill="1" applyBorder="1" applyAlignment="1">
      <alignment horizontal="left" vertical="center" wrapText="1"/>
    </xf>
    <xf numFmtId="0" fontId="19" fillId="2" borderId="14" xfId="0" applyFont="1" applyFill="1" applyBorder="1" applyAlignment="1">
      <alignment horizontal="left" vertical="center" wrapText="1"/>
    </xf>
    <xf numFmtId="0" fontId="1" fillId="3" borderId="16" xfId="0" applyFont="1" applyFill="1" applyBorder="1" applyAlignment="1">
      <alignment horizontal="left" vertical="center" wrapText="1"/>
    </xf>
    <xf numFmtId="0" fontId="1" fillId="3" borderId="14" xfId="0" applyFont="1" applyFill="1" applyBorder="1" applyAlignment="1">
      <alignment horizontal="left" vertical="center" wrapText="1"/>
    </xf>
    <xf numFmtId="0" fontId="16" fillId="3" borderId="14" xfId="0" applyFont="1" applyFill="1" applyBorder="1" applyAlignment="1">
      <alignment horizontal="left" vertical="center" wrapText="1"/>
    </xf>
    <xf numFmtId="0" fontId="5" fillId="3" borderId="18" xfId="0" applyFont="1" applyFill="1" applyBorder="1" applyAlignment="1">
      <alignment horizontal="center"/>
    </xf>
    <xf numFmtId="0" fontId="5" fillId="2" borderId="20" xfId="0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0" fontId="16" fillId="3" borderId="22" xfId="0" applyFont="1" applyFill="1" applyBorder="1" applyAlignment="1">
      <alignment horizontal="left" vertical="center" wrapText="1"/>
    </xf>
    <xf numFmtId="164" fontId="2" fillId="3" borderId="24" xfId="0" applyNumberFormat="1" applyFont="1" applyFill="1" applyBorder="1" applyAlignment="1">
      <alignment horizontal="center" vertical="center" wrapText="1"/>
    </xf>
    <xf numFmtId="0" fontId="2" fillId="2" borderId="24" xfId="0" applyFont="1" applyFill="1" applyBorder="1" applyAlignment="1">
      <alignment horizontal="center" vertical="center" wrapText="1"/>
    </xf>
    <xf numFmtId="164" fontId="2" fillId="2" borderId="24" xfId="0" applyNumberFormat="1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164" fontId="2" fillId="3" borderId="25" xfId="0" applyNumberFormat="1" applyFont="1" applyFill="1" applyBorder="1" applyAlignment="1">
      <alignment horizontal="center" vertical="center" wrapText="1"/>
    </xf>
    <xf numFmtId="0" fontId="9" fillId="5" borderId="27" xfId="0" applyFont="1" applyFill="1" applyBorder="1" applyAlignment="1">
      <alignment horizontal="center" vertical="center" wrapText="1"/>
    </xf>
    <xf numFmtId="164" fontId="3" fillId="3" borderId="19" xfId="0" applyNumberFormat="1" applyFont="1" applyFill="1" applyBorder="1" applyAlignment="1">
      <alignment horizontal="center" vertical="center" wrapText="1"/>
    </xf>
    <xf numFmtId="164" fontId="3" fillId="2" borderId="19" xfId="0" applyNumberFormat="1" applyFont="1" applyFill="1" applyBorder="1" applyAlignment="1">
      <alignment horizontal="center" vertical="center" wrapText="1"/>
    </xf>
    <xf numFmtId="1" fontId="3" fillId="2" borderId="19" xfId="0" applyNumberFormat="1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1" fontId="3" fillId="3" borderId="19" xfId="0" applyNumberFormat="1" applyFont="1" applyFill="1" applyBorder="1" applyAlignment="1">
      <alignment horizontal="center" vertical="center" wrapText="1"/>
    </xf>
    <xf numFmtId="0" fontId="3" fillId="3" borderId="19" xfId="0" applyFont="1" applyFill="1" applyBorder="1" applyAlignment="1">
      <alignment horizontal="center" vertical="center" wrapText="1"/>
    </xf>
    <xf numFmtId="1" fontId="3" fillId="3" borderId="23" xfId="0" applyNumberFormat="1" applyFont="1" applyFill="1" applyBorder="1" applyAlignment="1">
      <alignment horizontal="center" vertical="center" wrapText="1"/>
    </xf>
    <xf numFmtId="164" fontId="3" fillId="3" borderId="31" xfId="0" applyNumberFormat="1" applyFont="1" applyFill="1" applyBorder="1" applyAlignment="1">
      <alignment horizontal="center" vertical="center" wrapText="1"/>
    </xf>
    <xf numFmtId="164" fontId="3" fillId="2" borderId="31" xfId="0" applyNumberFormat="1" applyFont="1" applyFill="1" applyBorder="1" applyAlignment="1">
      <alignment horizontal="center" vertical="center" wrapText="1"/>
    </xf>
    <xf numFmtId="0" fontId="3" fillId="2" borderId="31" xfId="0" applyFont="1" applyFill="1" applyBorder="1" applyAlignment="1">
      <alignment horizontal="center" vertical="center" wrapText="1"/>
    </xf>
    <xf numFmtId="0" fontId="3" fillId="3" borderId="31" xfId="0" applyFont="1" applyFill="1" applyBorder="1" applyAlignment="1">
      <alignment horizontal="center" vertical="center" wrapText="1"/>
    </xf>
    <xf numFmtId="1" fontId="3" fillId="3" borderId="31" xfId="0" applyNumberFormat="1" applyFont="1" applyFill="1" applyBorder="1" applyAlignment="1">
      <alignment horizontal="center" vertical="center" wrapText="1"/>
    </xf>
    <xf numFmtId="1" fontId="3" fillId="2" borderId="31" xfId="0" applyNumberFormat="1" applyFont="1" applyFill="1" applyBorder="1" applyAlignment="1">
      <alignment horizontal="center" vertical="center" wrapText="1"/>
    </xf>
    <xf numFmtId="2" fontId="3" fillId="3" borderId="31" xfId="0" applyNumberFormat="1" applyFont="1" applyFill="1" applyBorder="1" applyAlignment="1">
      <alignment horizontal="center" vertical="center" wrapText="1"/>
    </xf>
    <xf numFmtId="0" fontId="1" fillId="3" borderId="26" xfId="0" applyFont="1" applyFill="1" applyBorder="1" applyAlignment="1">
      <alignment horizontal="center" vertical="center" wrapText="1"/>
    </xf>
    <xf numFmtId="164" fontId="1" fillId="3" borderId="14" xfId="0" applyNumberFormat="1" applyFont="1" applyFill="1" applyBorder="1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164" fontId="1" fillId="3" borderId="28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21" fillId="3" borderId="19" xfId="0" applyNumberFormat="1" applyFont="1" applyFill="1" applyBorder="1" applyAlignment="1">
      <alignment horizontal="center" vertical="center" wrapText="1"/>
    </xf>
    <xf numFmtId="0" fontId="1" fillId="3" borderId="14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164" fontId="1" fillId="2" borderId="14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28" xfId="0" applyNumberFormat="1" applyFont="1" applyFill="1" applyBorder="1" applyAlignment="1">
      <alignment horizontal="center" vertical="center" wrapText="1"/>
    </xf>
    <xf numFmtId="164" fontId="21" fillId="2" borderId="19" xfId="0" applyNumberFormat="1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1" fontId="1" fillId="2" borderId="28" xfId="0" applyNumberFormat="1" applyFont="1" applyFill="1" applyBorder="1" applyAlignment="1">
      <alignment horizontal="center" vertical="center" wrapText="1"/>
    </xf>
    <xf numFmtId="0" fontId="1" fillId="3" borderId="28" xfId="0" applyFont="1" applyFill="1" applyBorder="1" applyAlignment="1">
      <alignment horizontal="center" vertical="center" wrapText="1"/>
    </xf>
    <xf numFmtId="0" fontId="1" fillId="3" borderId="1" xfId="0" quotePrefix="1" applyFont="1" applyFill="1" applyBorder="1" applyAlignment="1">
      <alignment horizontal="center" vertical="center" wrapText="1"/>
    </xf>
    <xf numFmtId="1" fontId="1" fillId="3" borderId="28" xfId="0" applyNumberFormat="1" applyFont="1" applyFill="1" applyBorder="1" applyAlignment="1">
      <alignment horizontal="center" vertical="center" wrapText="1"/>
    </xf>
    <xf numFmtId="0" fontId="1" fillId="2" borderId="1" xfId="0" quotePrefix="1" applyFont="1" applyFill="1" applyBorder="1" applyAlignment="1">
      <alignment horizontal="center" vertical="center" wrapText="1"/>
    </xf>
    <xf numFmtId="0" fontId="21" fillId="3" borderId="19" xfId="0" applyFont="1" applyFill="1" applyBorder="1" applyAlignment="1">
      <alignment horizontal="center" vertical="center" wrapText="1"/>
    </xf>
    <xf numFmtId="164" fontId="1" fillId="3" borderId="14" xfId="0" quotePrefix="1" applyNumberFormat="1" applyFont="1" applyFill="1" applyBorder="1" applyAlignment="1">
      <alignment horizontal="center" vertical="center" wrapText="1"/>
    </xf>
    <xf numFmtId="0" fontId="21" fillId="2" borderId="19" xfId="0" applyFont="1" applyFill="1" applyBorder="1" applyAlignment="1">
      <alignment horizontal="center" vertical="center" wrapText="1"/>
    </xf>
    <xf numFmtId="1" fontId="1" fillId="3" borderId="1" xfId="0" applyNumberFormat="1" applyFont="1" applyFill="1" applyBorder="1" applyAlignment="1">
      <alignment horizontal="center" vertical="center" wrapText="1"/>
    </xf>
    <xf numFmtId="1" fontId="1" fillId="2" borderId="14" xfId="0" applyNumberFormat="1" applyFont="1" applyFill="1" applyBorder="1" applyAlignment="1">
      <alignment horizontal="center" vertical="center" wrapText="1"/>
    </xf>
    <xf numFmtId="1" fontId="1" fillId="3" borderId="14" xfId="0" applyNumberFormat="1" applyFont="1" applyFill="1" applyBorder="1" applyAlignment="1">
      <alignment horizontal="center" vertical="center" wrapText="1"/>
    </xf>
    <xf numFmtId="1" fontId="1" fillId="3" borderId="29" xfId="0" applyNumberFormat="1" applyFont="1" applyFill="1" applyBorder="1" applyAlignment="1">
      <alignment horizontal="center" vertical="center" wrapText="1"/>
    </xf>
    <xf numFmtId="164" fontId="1" fillId="3" borderId="30" xfId="0" applyNumberFormat="1" applyFont="1" applyFill="1" applyBorder="1" applyAlignment="1">
      <alignment horizontal="center" vertical="center" wrapText="1"/>
    </xf>
    <xf numFmtId="164" fontId="1" fillId="3" borderId="29" xfId="0" applyNumberFormat="1" applyFont="1" applyFill="1" applyBorder="1" applyAlignment="1">
      <alignment horizontal="center" vertical="center" wrapText="1"/>
    </xf>
    <xf numFmtId="1" fontId="1" fillId="3" borderId="30" xfId="0" applyNumberFormat="1" applyFont="1" applyFill="1" applyBorder="1" applyAlignment="1">
      <alignment horizontal="center" vertical="center" wrapText="1"/>
    </xf>
    <xf numFmtId="164" fontId="21" fillId="3" borderId="23" xfId="0" applyNumberFormat="1" applyFont="1" applyFill="1" applyBorder="1" applyAlignment="1">
      <alignment horizontal="center" vertical="center" wrapText="1"/>
    </xf>
    <xf numFmtId="0" fontId="1" fillId="3" borderId="24" xfId="0" applyFont="1" applyFill="1" applyBorder="1" applyAlignment="1">
      <alignment horizontal="center" vertical="center" wrapText="1"/>
    </xf>
    <xf numFmtId="1" fontId="1" fillId="2" borderId="24" xfId="0" applyNumberFormat="1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0" fontId="1" fillId="3" borderId="24" xfId="0" quotePrefix="1" applyFont="1" applyFill="1" applyBorder="1" applyAlignment="1">
      <alignment horizontal="center" vertical="center" wrapText="1"/>
    </xf>
    <xf numFmtId="164" fontId="1" fillId="2" borderId="24" xfId="0" applyNumberFormat="1" applyFont="1" applyFill="1" applyBorder="1" applyAlignment="1">
      <alignment horizontal="center" vertical="center" wrapText="1"/>
    </xf>
    <xf numFmtId="164" fontId="1" fillId="3" borderId="24" xfId="0" applyNumberFormat="1" applyFont="1" applyFill="1" applyBorder="1" applyAlignment="1">
      <alignment horizontal="center" vertical="center" wrapText="1"/>
    </xf>
    <xf numFmtId="0" fontId="1" fillId="2" borderId="24" xfId="0" quotePrefix="1" applyFont="1" applyFill="1" applyBorder="1" applyAlignment="1">
      <alignment horizontal="center" vertical="center" wrapText="1"/>
    </xf>
    <xf numFmtId="1" fontId="1" fillId="3" borderId="24" xfId="0" applyNumberFormat="1" applyFont="1" applyFill="1" applyBorder="1" applyAlignment="1">
      <alignment horizontal="center" vertical="center" wrapText="1"/>
    </xf>
    <xf numFmtId="164" fontId="1" fillId="3" borderId="25" xfId="0" applyNumberFormat="1" applyFont="1" applyFill="1" applyBorder="1" applyAlignment="1">
      <alignment horizontal="center" vertical="center" wrapText="1"/>
    </xf>
    <xf numFmtId="164" fontId="1" fillId="2" borderId="26" xfId="0" applyNumberFormat="1" applyFont="1" applyFill="1" applyBorder="1" applyAlignment="1">
      <alignment horizontal="center" vertical="center" wrapText="1"/>
    </xf>
    <xf numFmtId="164" fontId="1" fillId="3" borderId="26" xfId="0" applyNumberFormat="1" applyFont="1" applyFill="1" applyBorder="1" applyAlignment="1">
      <alignment horizontal="center" vertical="center" wrapText="1"/>
    </xf>
    <xf numFmtId="0" fontId="1" fillId="3" borderId="26" xfId="0" quotePrefix="1" applyFont="1" applyFill="1" applyBorder="1" applyAlignment="1">
      <alignment horizontal="center" vertical="center" wrapText="1"/>
    </xf>
    <xf numFmtId="0" fontId="1" fillId="2" borderId="26" xfId="0" quotePrefix="1" applyFont="1" applyFill="1" applyBorder="1" applyAlignment="1">
      <alignment horizontal="center" vertical="center" wrapText="1"/>
    </xf>
    <xf numFmtId="20" fontId="22" fillId="3" borderId="19" xfId="0" applyNumberFormat="1" applyFont="1" applyFill="1" applyBorder="1" applyAlignment="1">
      <alignment horizontal="center" vertical="center" wrapText="1"/>
    </xf>
    <xf numFmtId="20" fontId="22" fillId="2" borderId="19" xfId="0" applyNumberFormat="1" applyFont="1" applyFill="1" applyBorder="1" applyAlignment="1">
      <alignment horizontal="center" vertical="center" wrapText="1"/>
    </xf>
    <xf numFmtId="20" fontId="22" fillId="3" borderId="23" xfId="0" applyNumberFormat="1" applyFont="1" applyFill="1" applyBorder="1" applyAlignment="1">
      <alignment horizontal="center" vertical="center" wrapText="1"/>
    </xf>
    <xf numFmtId="164" fontId="1" fillId="3" borderId="31" xfId="0" applyNumberFormat="1" applyFont="1" applyFill="1" applyBorder="1" applyAlignment="1">
      <alignment horizontal="center" vertical="center" wrapText="1"/>
    </xf>
    <xf numFmtId="164" fontId="1" fillId="2" borderId="31" xfId="0" applyNumberFormat="1" applyFont="1" applyFill="1" applyBorder="1" applyAlignment="1">
      <alignment horizontal="center" vertical="center" wrapText="1"/>
    </xf>
    <xf numFmtId="0" fontId="1" fillId="2" borderId="31" xfId="0" applyFont="1" applyFill="1" applyBorder="1" applyAlignment="1">
      <alignment horizontal="center" vertical="center" wrapText="1"/>
    </xf>
    <xf numFmtId="0" fontId="1" fillId="3" borderId="31" xfId="0" applyFont="1" applyFill="1" applyBorder="1" applyAlignment="1">
      <alignment horizontal="center" vertical="center" wrapText="1"/>
    </xf>
    <xf numFmtId="0" fontId="2" fillId="3" borderId="25" xfId="0" applyFont="1" applyFill="1" applyBorder="1" applyAlignment="1">
      <alignment horizontal="center" vertical="center" wrapText="1"/>
    </xf>
    <xf numFmtId="20" fontId="1" fillId="3" borderId="26" xfId="0" applyNumberFormat="1" applyFont="1" applyFill="1" applyBorder="1" applyAlignment="1">
      <alignment horizontal="center" vertical="center" wrapText="1"/>
    </xf>
    <xf numFmtId="46" fontId="1" fillId="2" borderId="26" xfId="0" applyNumberFormat="1" applyFont="1" applyFill="1" applyBorder="1" applyAlignment="1">
      <alignment horizontal="center" vertical="center" wrapText="1"/>
    </xf>
    <xf numFmtId="20" fontId="1" fillId="2" borderId="26" xfId="0" applyNumberFormat="1" applyFont="1" applyFill="1" applyBorder="1" applyAlignment="1">
      <alignment horizontal="center" vertical="center" wrapText="1"/>
    </xf>
    <xf numFmtId="46" fontId="1" fillId="3" borderId="26" xfId="0" applyNumberFormat="1" applyFont="1" applyFill="1" applyBorder="1" applyAlignment="1">
      <alignment horizontal="center" vertical="center" wrapText="1"/>
    </xf>
    <xf numFmtId="0" fontId="1" fillId="3" borderId="36" xfId="0" applyFont="1" applyFill="1" applyBorder="1" applyAlignment="1">
      <alignment horizontal="center" vertical="center" wrapText="1"/>
    </xf>
    <xf numFmtId="164" fontId="1" fillId="3" borderId="22" xfId="0" applyNumberFormat="1" applyFont="1" applyFill="1" applyBorder="1" applyAlignment="1">
      <alignment horizontal="center" vertical="center" wrapText="1"/>
    </xf>
    <xf numFmtId="164" fontId="3" fillId="3" borderId="37" xfId="0" applyNumberFormat="1" applyFont="1" applyFill="1" applyBorder="1" applyAlignment="1">
      <alignment horizontal="center" vertical="center" wrapText="1"/>
    </xf>
    <xf numFmtId="1" fontId="1" fillId="3" borderId="22" xfId="0" applyNumberFormat="1" applyFont="1" applyFill="1" applyBorder="1" applyAlignment="1">
      <alignment horizontal="center" vertical="center" wrapText="1"/>
    </xf>
    <xf numFmtId="1" fontId="3" fillId="3" borderId="37" xfId="0" applyNumberFormat="1" applyFont="1" applyFill="1" applyBorder="1" applyAlignment="1">
      <alignment horizontal="center" vertical="center" wrapText="1"/>
    </xf>
    <xf numFmtId="1" fontId="1" fillId="3" borderId="36" xfId="0" applyNumberFormat="1" applyFont="1" applyFill="1" applyBorder="1" applyAlignment="1">
      <alignment horizontal="center" vertical="center" wrapText="1"/>
    </xf>
    <xf numFmtId="0" fontId="1" fillId="3" borderId="37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3" borderId="35" xfId="0" applyFont="1" applyFill="1" applyBorder="1" applyAlignment="1">
      <alignment horizontal="center" vertical="center"/>
    </xf>
    <xf numFmtId="0" fontId="1" fillId="2" borderId="35" xfId="0" applyFont="1" applyFill="1" applyBorder="1" applyAlignment="1">
      <alignment horizontal="center" vertical="center"/>
    </xf>
    <xf numFmtId="0" fontId="1" fillId="3" borderId="35" xfId="0" applyFont="1" applyFill="1" applyBorder="1" applyAlignment="1">
      <alignment horizontal="center" vertical="center"/>
    </xf>
    <xf numFmtId="0" fontId="1" fillId="3" borderId="38" xfId="0" applyFont="1" applyFill="1" applyBorder="1" applyAlignment="1">
      <alignment horizontal="center" vertical="center"/>
    </xf>
    <xf numFmtId="0" fontId="20" fillId="5" borderId="45" xfId="0" applyFont="1" applyFill="1" applyBorder="1" applyAlignment="1">
      <alignment horizontal="center" vertical="center" wrapText="1"/>
    </xf>
    <xf numFmtId="0" fontId="20" fillId="5" borderId="5" xfId="0" applyFont="1" applyFill="1" applyBorder="1" applyAlignment="1">
      <alignment horizontal="center" vertical="center" wrapText="1"/>
    </xf>
    <xf numFmtId="0" fontId="9" fillId="5" borderId="46" xfId="0" applyFont="1" applyFill="1" applyBorder="1" applyAlignment="1">
      <alignment horizontal="center" vertical="center" wrapText="1"/>
    </xf>
    <xf numFmtId="0" fontId="9" fillId="5" borderId="12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/>
    </xf>
    <xf numFmtId="0" fontId="0" fillId="4" borderId="39" xfId="0" applyFill="1" applyBorder="1" applyAlignment="1">
      <alignment horizontal="center"/>
    </xf>
    <xf numFmtId="0" fontId="0" fillId="4" borderId="15" xfId="0" applyFill="1" applyBorder="1" applyAlignment="1">
      <alignment horizontal="center"/>
    </xf>
    <xf numFmtId="0" fontId="0" fillId="4" borderId="0" xfId="0" applyFill="1" applyAlignment="1">
      <alignment horizontal="center"/>
    </xf>
    <xf numFmtId="0" fontId="0" fillId="4" borderId="41" xfId="0" applyFill="1" applyBorder="1" applyAlignment="1">
      <alignment horizontal="center"/>
    </xf>
    <xf numFmtId="0" fontId="0" fillId="4" borderId="42" xfId="0" applyFill="1" applyBorder="1" applyAlignment="1">
      <alignment horizontal="center"/>
    </xf>
    <xf numFmtId="0" fontId="0" fillId="4" borderId="32" xfId="0" applyFill="1" applyBorder="1" applyAlignment="1">
      <alignment horizontal="center"/>
    </xf>
    <xf numFmtId="0" fontId="0" fillId="4" borderId="40" xfId="0" applyFill="1" applyBorder="1" applyAlignment="1">
      <alignment horizontal="center"/>
    </xf>
    <xf numFmtId="0" fontId="0" fillId="4" borderId="43" xfId="0" applyFill="1" applyBorder="1" applyAlignment="1">
      <alignment horizontal="center"/>
    </xf>
    <xf numFmtId="0" fontId="10" fillId="4" borderId="39" xfId="0" applyFont="1" applyFill="1" applyBorder="1" applyAlignment="1">
      <alignment horizontal="center" vertical="center"/>
    </xf>
    <xf numFmtId="0" fontId="10" fillId="4" borderId="0" xfId="0" applyFont="1" applyFill="1" applyAlignment="1">
      <alignment horizontal="center" vertical="center"/>
    </xf>
    <xf numFmtId="0" fontId="11" fillId="4" borderId="0" xfId="0" applyFont="1" applyFill="1" applyAlignment="1">
      <alignment horizontal="center" vertical="center"/>
    </xf>
    <xf numFmtId="0" fontId="11" fillId="4" borderId="42" xfId="0" applyFont="1" applyFill="1" applyBorder="1" applyAlignment="1">
      <alignment horizontal="center" vertical="center"/>
    </xf>
    <xf numFmtId="0" fontId="9" fillId="5" borderId="45" xfId="0" applyFont="1" applyFill="1" applyBorder="1" applyAlignment="1">
      <alignment horizontal="center" vertical="center" wrapText="1"/>
    </xf>
    <xf numFmtId="0" fontId="9" fillId="5" borderId="5" xfId="0" applyFont="1" applyFill="1" applyBorder="1" applyAlignment="1">
      <alignment horizontal="center" vertical="center" wrapText="1"/>
    </xf>
    <xf numFmtId="0" fontId="9" fillId="5" borderId="16" xfId="0" applyFont="1" applyFill="1" applyBorder="1" applyAlignment="1">
      <alignment horizontal="center" vertical="center" wrapText="1"/>
    </xf>
    <xf numFmtId="0" fontId="9" fillId="5" borderId="17" xfId="0" applyFont="1" applyFill="1" applyBorder="1" applyAlignment="1">
      <alignment horizontal="center" vertical="center" wrapText="1"/>
    </xf>
    <xf numFmtId="0" fontId="9" fillId="5" borderId="47" xfId="0" applyFont="1" applyFill="1" applyBorder="1" applyAlignment="1">
      <alignment horizontal="center" vertical="center" wrapText="1"/>
    </xf>
    <xf numFmtId="0" fontId="9" fillId="5" borderId="48" xfId="0" applyFont="1" applyFill="1" applyBorder="1" applyAlignment="1">
      <alignment horizontal="center" vertical="center" wrapText="1"/>
    </xf>
    <xf numFmtId="0" fontId="9" fillId="5" borderId="49" xfId="0" applyFont="1" applyFill="1" applyBorder="1" applyAlignment="1">
      <alignment horizontal="center" vertical="center" wrapText="1"/>
    </xf>
    <xf numFmtId="0" fontId="9" fillId="5" borderId="40" xfId="0" applyFont="1" applyFill="1" applyBorder="1" applyAlignment="1">
      <alignment horizontal="center" vertical="center" wrapText="1"/>
    </xf>
    <xf numFmtId="0" fontId="9" fillId="5" borderId="33" xfId="0" applyFont="1" applyFill="1" applyBorder="1" applyAlignment="1">
      <alignment horizontal="center" vertical="center" wrapText="1"/>
    </xf>
    <xf numFmtId="0" fontId="9" fillId="5" borderId="50" xfId="0" applyFont="1" applyFill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52" xfId="0" applyFont="1" applyFill="1" applyBorder="1" applyAlignment="1">
      <alignment horizontal="center" vertical="center" wrapText="1"/>
    </xf>
    <xf numFmtId="0" fontId="8" fillId="5" borderId="15" xfId="0" applyFont="1" applyFill="1" applyBorder="1" applyAlignment="1">
      <alignment horizontal="center" vertical="center" wrapText="1"/>
    </xf>
    <xf numFmtId="0" fontId="8" fillId="5" borderId="44" xfId="0" applyFont="1" applyFill="1" applyBorder="1" applyAlignment="1">
      <alignment horizontal="center" vertical="center" wrapText="1"/>
    </xf>
    <xf numFmtId="0" fontId="8" fillId="5" borderId="3" xfId="0" applyFont="1" applyFill="1" applyBorder="1" applyAlignment="1">
      <alignment horizontal="center" vertical="center" wrapText="1"/>
    </xf>
    <xf numFmtId="0" fontId="8" fillId="5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AB840"/>
      <color rgb="FFFA9712"/>
      <color rgb="FF000048"/>
      <color rgb="FF00003A"/>
      <color rgb="FFF9A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52</xdr:row>
      <xdr:rowOff>0</xdr:rowOff>
    </xdr:from>
    <xdr:to>
      <xdr:col>1</xdr:col>
      <xdr:colOff>304800</xdr:colOff>
      <xdr:row>54</xdr:row>
      <xdr:rowOff>38099</xdr:rowOff>
    </xdr:to>
    <xdr:sp macro="" textlink="">
      <xdr:nvSpPr>
        <xdr:cNvPr id="2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C2A5741A-0C86-4BEB-BBB9-0AF6AF0DAF17}"/>
            </a:ext>
          </a:extLst>
        </xdr:cNvPr>
        <xdr:cNvSpPr>
          <a:spLocks noChangeAspect="1" noChangeArrowheads="1"/>
        </xdr:cNvSpPr>
      </xdr:nvSpPr>
      <xdr:spPr bwMode="auto">
        <a:xfrm>
          <a:off x="0" y="1162050"/>
          <a:ext cx="304800" cy="466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0</xdr:colOff>
      <xdr:row>55</xdr:row>
      <xdr:rowOff>24741</xdr:rowOff>
    </xdr:from>
    <xdr:to>
      <xdr:col>1</xdr:col>
      <xdr:colOff>304800</xdr:colOff>
      <xdr:row>57</xdr:row>
      <xdr:rowOff>62841</xdr:rowOff>
    </xdr:to>
    <xdr:sp macro="" textlink="">
      <xdr:nvSpPr>
        <xdr:cNvPr id="3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F0AE0B13-504D-44EA-A253-003DC8C2FDCD}"/>
            </a:ext>
          </a:extLst>
        </xdr:cNvPr>
        <xdr:cNvSpPr>
          <a:spLocks noChangeAspect="1" noChangeArrowheads="1"/>
        </xdr:cNvSpPr>
      </xdr:nvSpPr>
      <xdr:spPr bwMode="auto">
        <a:xfrm>
          <a:off x="0" y="9017825"/>
          <a:ext cx="304800" cy="4720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284513</xdr:colOff>
      <xdr:row>99</xdr:row>
      <xdr:rowOff>61850</xdr:rowOff>
    </xdr:from>
    <xdr:to>
      <xdr:col>1</xdr:col>
      <xdr:colOff>589313</xdr:colOff>
      <xdr:row>101</xdr:row>
      <xdr:rowOff>52324</xdr:rowOff>
    </xdr:to>
    <xdr:sp macro="" textlink="">
      <xdr:nvSpPr>
        <xdr:cNvPr id="6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5AA7796E-DFAD-4DD0-B986-9EA925BF859E}"/>
            </a:ext>
          </a:extLst>
        </xdr:cNvPr>
        <xdr:cNvSpPr>
          <a:spLocks noChangeAspect="1" noChangeArrowheads="1"/>
        </xdr:cNvSpPr>
      </xdr:nvSpPr>
      <xdr:spPr bwMode="auto">
        <a:xfrm>
          <a:off x="284513" y="26905032"/>
          <a:ext cx="304800" cy="4244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19</xdr:col>
      <xdr:colOff>320224</xdr:colOff>
      <xdr:row>30</xdr:row>
      <xdr:rowOff>174233</xdr:rowOff>
    </xdr:from>
    <xdr:to>
      <xdr:col>20</xdr:col>
      <xdr:colOff>241550</xdr:colOff>
      <xdr:row>32</xdr:row>
      <xdr:rowOff>186094</xdr:rowOff>
    </xdr:to>
    <xdr:sp macro="" textlink="">
      <xdr:nvSpPr>
        <xdr:cNvPr id="7" name="AutoShape 261" descr="http://static.laliganacional.com.ar/uploadsfotos/clubes/lanus2.svg">
          <a:extLst>
            <a:ext uri="{FF2B5EF4-FFF2-40B4-BE49-F238E27FC236}">
              <a16:creationId xmlns:a16="http://schemas.microsoft.com/office/drawing/2014/main" id="{55EFE8AF-8DAB-42EB-8A73-F95849FDCD3C}"/>
            </a:ext>
          </a:extLst>
        </xdr:cNvPr>
        <xdr:cNvSpPr>
          <a:spLocks noChangeAspect="1" noChangeArrowheads="1"/>
        </xdr:cNvSpPr>
      </xdr:nvSpPr>
      <xdr:spPr bwMode="auto">
        <a:xfrm>
          <a:off x="9306073" y="6059964"/>
          <a:ext cx="298731" cy="4239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20</xdr:col>
      <xdr:colOff>341462</xdr:colOff>
      <xdr:row>0</xdr:row>
      <xdr:rowOff>26958</xdr:rowOff>
    </xdr:from>
    <xdr:to>
      <xdr:col>23</xdr:col>
      <xdr:colOff>400426</xdr:colOff>
      <xdr:row>3</xdr:row>
      <xdr:rowOff>144590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9503428D-5767-4DDB-9902-7468DFEBCE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704717" y="26958"/>
          <a:ext cx="1191181" cy="683740"/>
        </a:xfrm>
        <a:prstGeom prst="rect">
          <a:avLst/>
        </a:prstGeom>
      </xdr:spPr>
    </xdr:pic>
    <xdr:clientData/>
  </xdr:twoCellAnchor>
  <xdr:twoCellAnchor editAs="oneCell">
    <xdr:from>
      <xdr:col>1</xdr:col>
      <xdr:colOff>476250</xdr:colOff>
      <xdr:row>0</xdr:row>
      <xdr:rowOff>26957</xdr:rowOff>
    </xdr:from>
    <xdr:to>
      <xdr:col>1</xdr:col>
      <xdr:colOff>1678214</xdr:colOff>
      <xdr:row>3</xdr:row>
      <xdr:rowOff>144589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2F9A4D5-D95B-429C-BA2E-5E33255A1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76250" y="26957"/>
          <a:ext cx="1201964" cy="68374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C3A3F0-EAD0-40A6-A24E-9B8B95611325}">
  <dimension ref="A1:Y109"/>
  <sheetViews>
    <sheetView tabSelected="1" zoomScale="106" zoomScaleNormal="106" workbookViewId="0">
      <selection activeCell="C5" sqref="C5:C6"/>
    </sheetView>
  </sheetViews>
  <sheetFormatPr defaultColWidth="9.140625" defaultRowHeight="15"/>
  <cols>
    <col min="1" max="1" width="5.7109375" customWidth="1"/>
    <col min="2" max="2" width="32.28515625" customWidth="1"/>
    <col min="3" max="3" width="5" style="1" customWidth="1"/>
    <col min="4" max="4" width="6.140625" style="1" customWidth="1"/>
    <col min="5" max="23" width="5.7109375" style="1" customWidth="1"/>
    <col min="24" max="24" width="6.140625" style="1" customWidth="1"/>
    <col min="25" max="255" width="11.42578125" customWidth="1"/>
  </cols>
  <sheetData>
    <row r="1" spans="1:25">
      <c r="A1" s="114"/>
      <c r="B1" s="115"/>
      <c r="C1" s="123" t="s">
        <v>0</v>
      </c>
      <c r="D1" s="123"/>
      <c r="E1" s="123"/>
      <c r="F1" s="123"/>
      <c r="G1" s="123"/>
      <c r="H1" s="123"/>
      <c r="I1" s="123"/>
      <c r="J1" s="123"/>
      <c r="K1" s="123"/>
      <c r="L1" s="123"/>
      <c r="M1" s="123"/>
      <c r="N1" s="123"/>
      <c r="O1" s="123"/>
      <c r="P1" s="123"/>
      <c r="Q1" s="123"/>
      <c r="R1" s="123"/>
      <c r="S1" s="123"/>
      <c r="T1" s="115"/>
      <c r="U1" s="115"/>
      <c r="V1" s="115"/>
      <c r="W1" s="115"/>
      <c r="X1" s="115"/>
      <c r="Y1" s="120"/>
    </row>
    <row r="2" spans="1:25">
      <c r="A2" s="116"/>
      <c r="B2" s="117"/>
      <c r="C2" s="124"/>
      <c r="D2" s="124"/>
      <c r="E2" s="124"/>
      <c r="F2" s="124"/>
      <c r="G2" s="124"/>
      <c r="H2" s="124"/>
      <c r="I2" s="124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17"/>
      <c r="U2" s="117"/>
      <c r="V2" s="117"/>
      <c r="W2" s="117"/>
      <c r="X2" s="117"/>
      <c r="Y2" s="121"/>
    </row>
    <row r="3" spans="1:25" ht="15" customHeight="1">
      <c r="A3" s="116"/>
      <c r="B3" s="117"/>
      <c r="C3" s="125" t="s">
        <v>1</v>
      </c>
      <c r="D3" s="125"/>
      <c r="E3" s="125"/>
      <c r="F3" s="125"/>
      <c r="G3" s="125"/>
      <c r="H3" s="125"/>
      <c r="I3" s="125"/>
      <c r="J3" s="125"/>
      <c r="K3" s="125"/>
      <c r="L3" s="125"/>
      <c r="M3" s="125"/>
      <c r="N3" s="125"/>
      <c r="O3" s="125"/>
      <c r="P3" s="125"/>
      <c r="Q3" s="125"/>
      <c r="R3" s="125"/>
      <c r="S3" s="125"/>
      <c r="T3" s="117"/>
      <c r="U3" s="117"/>
      <c r="V3" s="117"/>
      <c r="W3" s="117"/>
      <c r="X3" s="117"/>
      <c r="Y3" s="121"/>
    </row>
    <row r="4" spans="1:25">
      <c r="A4" s="118"/>
      <c r="B4" s="119"/>
      <c r="C4" s="126"/>
      <c r="D4" s="126"/>
      <c r="E4" s="126"/>
      <c r="F4" s="126"/>
      <c r="G4" s="126"/>
      <c r="H4" s="126"/>
      <c r="I4" s="126"/>
      <c r="J4" s="126"/>
      <c r="K4" s="126"/>
      <c r="L4" s="126"/>
      <c r="M4" s="126"/>
      <c r="N4" s="126"/>
      <c r="O4" s="126"/>
      <c r="P4" s="126"/>
      <c r="Q4" s="126"/>
      <c r="R4" s="126"/>
      <c r="S4" s="126"/>
      <c r="T4" s="119"/>
      <c r="U4" s="119"/>
      <c r="V4" s="119"/>
      <c r="W4" s="119"/>
      <c r="X4" s="119"/>
      <c r="Y4" s="122"/>
    </row>
    <row r="5" spans="1:25" ht="15" customHeight="1">
      <c r="A5" s="139" t="s">
        <v>2</v>
      </c>
      <c r="B5" s="140"/>
      <c r="C5" s="127" t="s">
        <v>3</v>
      </c>
      <c r="D5" s="112" t="s">
        <v>4</v>
      </c>
      <c r="E5" s="129" t="s">
        <v>5</v>
      </c>
      <c r="F5" s="130"/>
      <c r="G5" s="131"/>
      <c r="H5" s="132" t="s">
        <v>6</v>
      </c>
      <c r="I5" s="130"/>
      <c r="J5" s="133"/>
      <c r="K5" s="129" t="s">
        <v>7</v>
      </c>
      <c r="L5" s="130"/>
      <c r="M5" s="131"/>
      <c r="N5" s="136" t="s">
        <v>8</v>
      </c>
      <c r="O5" s="137"/>
      <c r="P5" s="138"/>
      <c r="Q5" s="127" t="s">
        <v>9</v>
      </c>
      <c r="R5" s="112" t="s">
        <v>10</v>
      </c>
      <c r="S5" s="129" t="s">
        <v>11</v>
      </c>
      <c r="T5" s="131"/>
      <c r="U5" s="136" t="s">
        <v>12</v>
      </c>
      <c r="V5" s="138"/>
      <c r="W5" s="110" t="s">
        <v>13</v>
      </c>
      <c r="X5" s="112" t="s">
        <v>14</v>
      </c>
      <c r="Y5" s="134" t="s">
        <v>15</v>
      </c>
    </row>
    <row r="6" spans="1:25" ht="15" customHeight="1">
      <c r="A6" s="141"/>
      <c r="B6" s="142"/>
      <c r="C6" s="128"/>
      <c r="D6" s="113"/>
      <c r="E6" s="8" t="s">
        <v>16</v>
      </c>
      <c r="F6" s="3" t="s">
        <v>17</v>
      </c>
      <c r="G6" s="4" t="s">
        <v>18</v>
      </c>
      <c r="H6" s="2" t="s">
        <v>16</v>
      </c>
      <c r="I6" s="3" t="s">
        <v>17</v>
      </c>
      <c r="J6" s="25" t="s">
        <v>18</v>
      </c>
      <c r="K6" s="8" t="s">
        <v>16</v>
      </c>
      <c r="L6" s="3" t="s">
        <v>17</v>
      </c>
      <c r="M6" s="4" t="s">
        <v>18</v>
      </c>
      <c r="N6" s="5" t="s">
        <v>19</v>
      </c>
      <c r="O6" s="6" t="s">
        <v>20</v>
      </c>
      <c r="P6" s="7" t="s">
        <v>21</v>
      </c>
      <c r="Q6" s="128"/>
      <c r="R6" s="113"/>
      <c r="S6" s="8" t="s">
        <v>22</v>
      </c>
      <c r="T6" s="4" t="s">
        <v>23</v>
      </c>
      <c r="U6" s="5" t="s">
        <v>24</v>
      </c>
      <c r="V6" s="7" t="s">
        <v>25</v>
      </c>
      <c r="W6" s="111"/>
      <c r="X6" s="113"/>
      <c r="Y6" s="135"/>
    </row>
    <row r="7" spans="1:25" ht="18.75" customHeight="1">
      <c r="A7" s="15">
        <v>1</v>
      </c>
      <c r="B7" s="12" t="s">
        <v>26</v>
      </c>
      <c r="C7" s="40">
        <v>5</v>
      </c>
      <c r="D7" s="20">
        <v>23.6</v>
      </c>
      <c r="E7" s="41">
        <f>32/5</f>
        <v>6.4</v>
      </c>
      <c r="F7" s="42">
        <f>53/5</f>
        <v>10.6</v>
      </c>
      <c r="G7" s="33">
        <v>60.4</v>
      </c>
      <c r="H7" s="43">
        <f>9/5</f>
        <v>1.8</v>
      </c>
      <c r="I7" s="42">
        <f>11/5</f>
        <v>2.2000000000000002</v>
      </c>
      <c r="J7" s="26">
        <v>81.8</v>
      </c>
      <c r="K7" s="41">
        <f>27/5</f>
        <v>5.4</v>
      </c>
      <c r="L7" s="42">
        <f>42/5</f>
        <v>8.4</v>
      </c>
      <c r="M7" s="36">
        <v>64.3</v>
      </c>
      <c r="N7" s="43">
        <v>9.4</v>
      </c>
      <c r="O7" s="44">
        <v>3.8</v>
      </c>
      <c r="P7" s="45">
        <v>9.4</v>
      </c>
      <c r="Q7" s="40">
        <v>3.4</v>
      </c>
      <c r="R7" s="72">
        <v>0.4</v>
      </c>
      <c r="S7" s="41">
        <v>1.8</v>
      </c>
      <c r="T7" s="88">
        <v>0.4</v>
      </c>
      <c r="U7" s="43">
        <v>1.6</v>
      </c>
      <c r="V7" s="85" t="s">
        <v>27</v>
      </c>
      <c r="W7" s="40" t="s">
        <v>28</v>
      </c>
      <c r="X7" s="23">
        <v>31.4</v>
      </c>
      <c r="Y7" s="104" t="s">
        <v>29</v>
      </c>
    </row>
    <row r="8" spans="1:25" ht="18.75" customHeight="1">
      <c r="A8" s="16">
        <v>2</v>
      </c>
      <c r="B8" s="10" t="s">
        <v>30</v>
      </c>
      <c r="C8" s="47">
        <v>2</v>
      </c>
      <c r="D8" s="21">
        <v>22.5</v>
      </c>
      <c r="E8" s="48">
        <f>18/2</f>
        <v>9</v>
      </c>
      <c r="F8" s="49">
        <v>14</v>
      </c>
      <c r="G8" s="34">
        <v>64.3</v>
      </c>
      <c r="H8" s="50">
        <v>1</v>
      </c>
      <c r="I8" s="49">
        <v>3.5</v>
      </c>
      <c r="J8" s="27">
        <v>28.6</v>
      </c>
      <c r="K8" s="48">
        <v>1.5</v>
      </c>
      <c r="L8" s="49">
        <v>3</v>
      </c>
      <c r="M8" s="34">
        <v>50</v>
      </c>
      <c r="N8" s="50">
        <v>6.5</v>
      </c>
      <c r="O8" s="49">
        <v>4</v>
      </c>
      <c r="P8" s="51">
        <v>10.5</v>
      </c>
      <c r="Q8" s="81">
        <v>1.5</v>
      </c>
      <c r="R8" s="73">
        <v>0</v>
      </c>
      <c r="S8" s="48">
        <v>2</v>
      </c>
      <c r="T8" s="89">
        <v>2</v>
      </c>
      <c r="U8" s="50">
        <v>1.5</v>
      </c>
      <c r="V8" s="86" t="s">
        <v>27</v>
      </c>
      <c r="W8" s="47" t="s">
        <v>31</v>
      </c>
      <c r="X8" s="21">
        <v>26.5</v>
      </c>
      <c r="Y8" s="105" t="s">
        <v>29</v>
      </c>
    </row>
    <row r="9" spans="1:25" ht="18.75" customHeight="1">
      <c r="A9" s="17">
        <v>3</v>
      </c>
      <c r="B9" s="13" t="s">
        <v>32</v>
      </c>
      <c r="C9" s="40">
        <v>5</v>
      </c>
      <c r="D9" s="20">
        <v>17.600000000000001</v>
      </c>
      <c r="E9" s="41">
        <f>32/5</f>
        <v>6.4</v>
      </c>
      <c r="F9" s="42">
        <f>63/5</f>
        <v>12.6</v>
      </c>
      <c r="G9" s="33">
        <v>50.8</v>
      </c>
      <c r="H9" s="43">
        <f>2/5</f>
        <v>0.4</v>
      </c>
      <c r="I9" s="42">
        <f>8/5</f>
        <v>1.6</v>
      </c>
      <c r="J9" s="26">
        <v>25</v>
      </c>
      <c r="K9" s="41">
        <f>18/5</f>
        <v>3.6</v>
      </c>
      <c r="L9" s="42">
        <f>28/5</f>
        <v>5.6</v>
      </c>
      <c r="M9" s="33">
        <v>64.3</v>
      </c>
      <c r="N9" s="43">
        <v>6.6</v>
      </c>
      <c r="O9" s="42">
        <v>5</v>
      </c>
      <c r="P9" s="45">
        <v>11.6</v>
      </c>
      <c r="Q9" s="82">
        <v>3</v>
      </c>
      <c r="R9" s="72">
        <v>0.6</v>
      </c>
      <c r="S9" s="41">
        <v>0.8</v>
      </c>
      <c r="T9" s="88">
        <v>1</v>
      </c>
      <c r="U9" s="43">
        <v>2.8</v>
      </c>
      <c r="V9" s="85" t="s">
        <v>27</v>
      </c>
      <c r="W9" s="40" t="s">
        <v>33</v>
      </c>
      <c r="X9" s="20">
        <v>24.4</v>
      </c>
      <c r="Y9" s="106" t="s">
        <v>29</v>
      </c>
    </row>
    <row r="10" spans="1:25" ht="18.75" customHeight="1">
      <c r="A10" s="16">
        <v>4</v>
      </c>
      <c r="B10" s="9" t="s">
        <v>34</v>
      </c>
      <c r="C10" s="47">
        <v>15</v>
      </c>
      <c r="D10" s="21">
        <v>23.6</v>
      </c>
      <c r="E10" s="48">
        <f>97/15</f>
        <v>6.4666666666666668</v>
      </c>
      <c r="F10" s="49">
        <f>180/15</f>
        <v>12</v>
      </c>
      <c r="G10" s="35">
        <v>53.9</v>
      </c>
      <c r="H10" s="50">
        <f>19/15</f>
        <v>1.2666666666666666</v>
      </c>
      <c r="I10" s="49">
        <f>64/15</f>
        <v>4.2666666666666666</v>
      </c>
      <c r="J10" s="27">
        <v>29.7</v>
      </c>
      <c r="K10" s="48">
        <f>103/15</f>
        <v>6.8666666666666663</v>
      </c>
      <c r="L10" s="49">
        <f>125/15</f>
        <v>8.3333333333333339</v>
      </c>
      <c r="M10" s="35">
        <v>82.4</v>
      </c>
      <c r="N10" s="54">
        <v>3.9</v>
      </c>
      <c r="O10" s="53">
        <v>0.8</v>
      </c>
      <c r="P10" s="51">
        <v>4.7</v>
      </c>
      <c r="Q10" s="47">
        <v>2.2000000000000002</v>
      </c>
      <c r="R10" s="74">
        <v>0.1</v>
      </c>
      <c r="S10" s="55">
        <v>3.1</v>
      </c>
      <c r="T10" s="90">
        <v>1.3</v>
      </c>
      <c r="U10" s="54">
        <v>1.5</v>
      </c>
      <c r="V10" s="86" t="s">
        <v>27</v>
      </c>
      <c r="W10" s="47" t="s">
        <v>35</v>
      </c>
      <c r="X10" s="21">
        <v>23.6</v>
      </c>
      <c r="Y10" s="105" t="s">
        <v>36</v>
      </c>
    </row>
    <row r="11" spans="1:25" ht="18.75" customHeight="1">
      <c r="A11" s="17">
        <v>5</v>
      </c>
      <c r="B11" s="14" t="s">
        <v>37</v>
      </c>
      <c r="C11" s="40">
        <v>12</v>
      </c>
      <c r="D11" s="20">
        <v>18.899999999999999</v>
      </c>
      <c r="E11" s="41">
        <f>70/12</f>
        <v>5.833333333333333</v>
      </c>
      <c r="F11" s="42">
        <f>124/12</f>
        <v>10.333333333333334</v>
      </c>
      <c r="G11" s="33">
        <v>56.5</v>
      </c>
      <c r="H11" s="43">
        <f>13/12</f>
        <v>1.0833333333333333</v>
      </c>
      <c r="I11" s="42">
        <f>31/12</f>
        <v>2.5833333333333335</v>
      </c>
      <c r="J11" s="26">
        <v>41.9</v>
      </c>
      <c r="K11" s="41">
        <f>48/12</f>
        <v>4</v>
      </c>
      <c r="L11" s="42">
        <f>78/12</f>
        <v>6.5</v>
      </c>
      <c r="M11" s="36">
        <v>70.599999999999994</v>
      </c>
      <c r="N11" s="43">
        <v>7.8</v>
      </c>
      <c r="O11" s="44">
        <v>2.1</v>
      </c>
      <c r="P11" s="45">
        <v>9.8000000000000007</v>
      </c>
      <c r="Q11" s="40">
        <v>2.2999999999999998</v>
      </c>
      <c r="R11" s="72">
        <v>0.5</v>
      </c>
      <c r="S11" s="41">
        <v>3.2</v>
      </c>
      <c r="T11" s="88">
        <v>1.3</v>
      </c>
      <c r="U11" s="43">
        <v>3.3</v>
      </c>
      <c r="V11" s="85" t="s">
        <v>27</v>
      </c>
      <c r="W11" s="40" t="s">
        <v>38</v>
      </c>
      <c r="X11" s="20">
        <v>23.2</v>
      </c>
      <c r="Y11" s="106" t="s">
        <v>29</v>
      </c>
    </row>
    <row r="12" spans="1:25" ht="18.75" customHeight="1">
      <c r="A12" s="16">
        <v>6</v>
      </c>
      <c r="B12" s="9" t="s">
        <v>39</v>
      </c>
      <c r="C12" s="47">
        <v>18</v>
      </c>
      <c r="D12" s="21">
        <v>13.7</v>
      </c>
      <c r="E12" s="48">
        <f>97/18</f>
        <v>5.3888888888888893</v>
      </c>
      <c r="F12" s="49">
        <f>159/18</f>
        <v>8.8333333333333339</v>
      </c>
      <c r="G12" s="34">
        <v>61</v>
      </c>
      <c r="H12" s="56">
        <v>0</v>
      </c>
      <c r="I12" s="49">
        <f>5/18</f>
        <v>0.27777777777777779</v>
      </c>
      <c r="J12" s="28">
        <v>0</v>
      </c>
      <c r="K12" s="48">
        <f>52/18</f>
        <v>2.8888888888888888</v>
      </c>
      <c r="L12" s="49">
        <f>90/18</f>
        <v>5</v>
      </c>
      <c r="M12" s="34">
        <v>57.8</v>
      </c>
      <c r="N12" s="50">
        <v>4.9000000000000004</v>
      </c>
      <c r="O12" s="53">
        <v>3.9</v>
      </c>
      <c r="P12" s="51">
        <v>8.8000000000000007</v>
      </c>
      <c r="Q12" s="47">
        <v>2.1</v>
      </c>
      <c r="R12" s="74">
        <v>1.2</v>
      </c>
      <c r="S12" s="55">
        <v>1.6</v>
      </c>
      <c r="T12" s="90">
        <v>1.4</v>
      </c>
      <c r="U12" s="50">
        <v>2</v>
      </c>
      <c r="V12" s="86" t="s">
        <v>27</v>
      </c>
      <c r="W12" s="47" t="s">
        <v>28</v>
      </c>
      <c r="X12" s="21">
        <v>21.7</v>
      </c>
      <c r="Y12" s="105" t="s">
        <v>29</v>
      </c>
    </row>
    <row r="13" spans="1:25" ht="18.75" customHeight="1">
      <c r="A13" s="17">
        <v>7</v>
      </c>
      <c r="B13" s="13" t="s">
        <v>40</v>
      </c>
      <c r="C13" s="40">
        <v>9</v>
      </c>
      <c r="D13" s="20">
        <v>17.399999999999999</v>
      </c>
      <c r="E13" s="41">
        <f>56/9</f>
        <v>6.2222222222222223</v>
      </c>
      <c r="F13" s="42">
        <f>88/9</f>
        <v>9.7777777777777786</v>
      </c>
      <c r="G13" s="33">
        <v>63.6</v>
      </c>
      <c r="H13" s="43">
        <f>2/9</f>
        <v>0.22222222222222221</v>
      </c>
      <c r="I13" s="42">
        <v>0.88888888888888884</v>
      </c>
      <c r="J13" s="26">
        <v>25</v>
      </c>
      <c r="K13" s="41">
        <f>39/9</f>
        <v>4.333333333333333</v>
      </c>
      <c r="L13" s="42">
        <f>64/9</f>
        <v>7.1111111111111107</v>
      </c>
      <c r="M13" s="36">
        <v>60.9</v>
      </c>
      <c r="N13" s="43">
        <v>5.8</v>
      </c>
      <c r="O13" s="44">
        <v>1.7</v>
      </c>
      <c r="P13" s="45">
        <v>7.4</v>
      </c>
      <c r="Q13" s="82">
        <v>2</v>
      </c>
      <c r="R13" s="72">
        <v>0.5</v>
      </c>
      <c r="S13" s="41">
        <v>2.9</v>
      </c>
      <c r="T13" s="88">
        <v>1.2</v>
      </c>
      <c r="U13" s="43">
        <v>2.4</v>
      </c>
      <c r="V13" s="85" t="s">
        <v>27</v>
      </c>
      <c r="W13" s="40" t="s">
        <v>41</v>
      </c>
      <c r="X13" s="23">
        <v>21.6</v>
      </c>
      <c r="Y13" s="106" t="s">
        <v>42</v>
      </c>
    </row>
    <row r="14" spans="1:25" ht="18.75" customHeight="1">
      <c r="A14" s="16">
        <v>8</v>
      </c>
      <c r="B14" s="9" t="s">
        <v>43</v>
      </c>
      <c r="C14" s="47">
        <v>22</v>
      </c>
      <c r="D14" s="22">
        <v>20.8</v>
      </c>
      <c r="E14" s="48">
        <f>110/22</f>
        <v>5</v>
      </c>
      <c r="F14" s="49">
        <f>187/22</f>
        <v>8.5</v>
      </c>
      <c r="G14" s="34">
        <v>58.8</v>
      </c>
      <c r="H14" s="50">
        <f>37/22</f>
        <v>1.6818181818181819</v>
      </c>
      <c r="I14" s="49">
        <f>91/22</f>
        <v>4.1363636363636367</v>
      </c>
      <c r="J14" s="27">
        <v>40.700000000000003</v>
      </c>
      <c r="K14" s="48">
        <f>126/22</f>
        <v>5.7272727272727275</v>
      </c>
      <c r="L14" s="49">
        <f>154/22</f>
        <v>7</v>
      </c>
      <c r="M14" s="35">
        <v>81.8</v>
      </c>
      <c r="N14" s="50">
        <v>2.2999999999999998</v>
      </c>
      <c r="O14" s="53">
        <v>0.6</v>
      </c>
      <c r="P14" s="51">
        <v>2.9</v>
      </c>
      <c r="Q14" s="47">
        <v>3.3</v>
      </c>
      <c r="R14" s="74">
        <v>0</v>
      </c>
      <c r="S14" s="48">
        <v>3.5</v>
      </c>
      <c r="T14" s="89">
        <v>1.3</v>
      </c>
      <c r="U14" s="50">
        <v>1.3</v>
      </c>
      <c r="V14" s="86" t="s">
        <v>27</v>
      </c>
      <c r="W14" s="47" t="s">
        <v>44</v>
      </c>
      <c r="X14" s="22">
        <v>21.5</v>
      </c>
      <c r="Y14" s="105" t="s">
        <v>45</v>
      </c>
    </row>
    <row r="15" spans="1:25" ht="18.75" customHeight="1">
      <c r="A15" s="17">
        <v>9</v>
      </c>
      <c r="B15" s="13" t="s">
        <v>46</v>
      </c>
      <c r="C15" s="40">
        <v>19</v>
      </c>
      <c r="D15" s="23">
        <v>17.899999999999999</v>
      </c>
      <c r="E15" s="41">
        <f>108/19</f>
        <v>5.6842105263157894</v>
      </c>
      <c r="F15" s="42">
        <f>187/19</f>
        <v>9.8421052631578956</v>
      </c>
      <c r="G15" s="33">
        <v>57.8</v>
      </c>
      <c r="H15" s="43">
        <f>27/19</f>
        <v>1.4210526315789473</v>
      </c>
      <c r="I15" s="42">
        <f>59/19</f>
        <v>3.1052631578947367</v>
      </c>
      <c r="J15" s="26">
        <v>34.200000000000003</v>
      </c>
      <c r="K15" s="41">
        <f>44/19</f>
        <v>2.3157894736842106</v>
      </c>
      <c r="L15" s="42">
        <f>59/19</f>
        <v>3.1052631578947367</v>
      </c>
      <c r="M15" s="33">
        <v>74.599999999999994</v>
      </c>
      <c r="N15" s="43">
        <v>4.5999999999999996</v>
      </c>
      <c r="O15" s="44">
        <v>0.8</v>
      </c>
      <c r="P15" s="45">
        <v>5.4</v>
      </c>
      <c r="Q15" s="40">
        <v>5.5</v>
      </c>
      <c r="R15" s="72">
        <v>0.2</v>
      </c>
      <c r="S15" s="46">
        <v>2.1</v>
      </c>
      <c r="T15" s="91">
        <v>1.3</v>
      </c>
      <c r="U15" s="43">
        <v>2.8</v>
      </c>
      <c r="V15" s="85" t="s">
        <v>27</v>
      </c>
      <c r="W15" s="40" t="s">
        <v>47</v>
      </c>
      <c r="X15" s="23">
        <v>20.8</v>
      </c>
      <c r="Y15" s="106" t="s">
        <v>45</v>
      </c>
    </row>
    <row r="16" spans="1:25" ht="18.75" customHeight="1">
      <c r="A16" s="16">
        <v>10</v>
      </c>
      <c r="B16" s="10" t="s">
        <v>48</v>
      </c>
      <c r="C16" s="47">
        <v>13</v>
      </c>
      <c r="D16" s="21">
        <v>10.6</v>
      </c>
      <c r="E16" s="48">
        <f>44/13</f>
        <v>3.3846153846153846</v>
      </c>
      <c r="F16" s="49">
        <f>79/13</f>
        <v>6.0769230769230766</v>
      </c>
      <c r="G16" s="35">
        <v>55.7</v>
      </c>
      <c r="H16" s="50">
        <f>5/13</f>
        <v>0.38461538461538464</v>
      </c>
      <c r="I16" s="49">
        <f>18/13</f>
        <v>1.3846153846153846</v>
      </c>
      <c r="J16" s="27">
        <v>27.8</v>
      </c>
      <c r="K16" s="48">
        <f>35/13</f>
        <v>2.6923076923076925</v>
      </c>
      <c r="L16" s="49">
        <f>52/13</f>
        <v>4</v>
      </c>
      <c r="M16" s="34">
        <v>67.3</v>
      </c>
      <c r="N16" s="50">
        <v>9.1</v>
      </c>
      <c r="O16" s="49">
        <v>1.4</v>
      </c>
      <c r="P16" s="51">
        <v>10.5</v>
      </c>
      <c r="Q16" s="47">
        <v>2.2000000000000002</v>
      </c>
      <c r="R16" s="74">
        <v>3.6</v>
      </c>
      <c r="S16" s="55">
        <v>3.3</v>
      </c>
      <c r="T16" s="90">
        <v>0.7</v>
      </c>
      <c r="U16" s="54">
        <v>2.8</v>
      </c>
      <c r="V16" s="86" t="s">
        <v>27</v>
      </c>
      <c r="W16" s="47" t="s">
        <v>31</v>
      </c>
      <c r="X16" s="21">
        <v>20.5</v>
      </c>
      <c r="Y16" s="105" t="s">
        <v>49</v>
      </c>
    </row>
    <row r="17" spans="1:25" ht="18.75" customHeight="1">
      <c r="A17" s="17">
        <v>11</v>
      </c>
      <c r="B17" s="14" t="s">
        <v>50</v>
      </c>
      <c r="C17" s="40">
        <v>16</v>
      </c>
      <c r="D17" s="23">
        <v>20.6</v>
      </c>
      <c r="E17" s="41">
        <f>48/16</f>
        <v>3</v>
      </c>
      <c r="F17" s="42">
        <f>121/16</f>
        <v>7.5625</v>
      </c>
      <c r="G17" s="33">
        <v>39.700000000000003</v>
      </c>
      <c r="H17" s="43">
        <f>51/16</f>
        <v>3.1875</v>
      </c>
      <c r="I17" s="42">
        <f>145/16</f>
        <v>9.0625</v>
      </c>
      <c r="J17" s="26">
        <v>35.200000000000003</v>
      </c>
      <c r="K17" s="41">
        <f>81/16</f>
        <v>5.0625</v>
      </c>
      <c r="L17" s="42">
        <f>100/16</f>
        <v>6.25</v>
      </c>
      <c r="M17" s="33">
        <v>81</v>
      </c>
      <c r="N17" s="57">
        <v>3.9</v>
      </c>
      <c r="O17" s="42">
        <v>0.8</v>
      </c>
      <c r="P17" s="45">
        <v>4.8</v>
      </c>
      <c r="Q17" s="82">
        <v>4.8</v>
      </c>
      <c r="R17" s="75">
        <v>0.3</v>
      </c>
      <c r="S17" s="46">
        <v>3.9</v>
      </c>
      <c r="T17" s="91">
        <v>1.7</v>
      </c>
      <c r="U17" s="43">
        <v>2</v>
      </c>
      <c r="V17" s="85" t="s">
        <v>27</v>
      </c>
      <c r="W17" s="40" t="s">
        <v>51</v>
      </c>
      <c r="X17" s="23">
        <v>19.600000000000001</v>
      </c>
      <c r="Y17" s="106" t="s">
        <v>36</v>
      </c>
    </row>
    <row r="18" spans="1:25" ht="18.75" customHeight="1">
      <c r="A18" s="16">
        <v>12</v>
      </c>
      <c r="B18" s="9" t="s">
        <v>52</v>
      </c>
      <c r="C18" s="47">
        <v>24</v>
      </c>
      <c r="D18" s="21">
        <v>17.600000000000001</v>
      </c>
      <c r="E18" s="48">
        <f>118/24</f>
        <v>4.916666666666667</v>
      </c>
      <c r="F18" s="49">
        <f>204/24</f>
        <v>8.5</v>
      </c>
      <c r="G18" s="35">
        <v>57.8</v>
      </c>
      <c r="H18" s="50">
        <f>34/24</f>
        <v>1.4166666666666667</v>
      </c>
      <c r="I18" s="49">
        <f>84/24</f>
        <v>3.5</v>
      </c>
      <c r="J18" s="27">
        <v>40.5</v>
      </c>
      <c r="K18" s="48">
        <f>85/24</f>
        <v>3.5416666666666665</v>
      </c>
      <c r="L18" s="49">
        <f>103/24</f>
        <v>4.291666666666667</v>
      </c>
      <c r="M18" s="35">
        <v>82.5</v>
      </c>
      <c r="N18" s="54">
        <v>5.0999999999999996</v>
      </c>
      <c r="O18" s="53">
        <v>1.5</v>
      </c>
      <c r="P18" s="51">
        <v>6.6</v>
      </c>
      <c r="Q18" s="81">
        <v>2</v>
      </c>
      <c r="R18" s="74">
        <v>0.5</v>
      </c>
      <c r="S18" s="55">
        <v>2.7</v>
      </c>
      <c r="T18" s="89">
        <v>1</v>
      </c>
      <c r="U18" s="54">
        <v>2.6</v>
      </c>
      <c r="V18" s="86" t="s">
        <v>27</v>
      </c>
      <c r="W18" s="47" t="s">
        <v>53</v>
      </c>
      <c r="X18" s="21">
        <v>19.600000000000001</v>
      </c>
      <c r="Y18" s="105" t="s">
        <v>29</v>
      </c>
    </row>
    <row r="19" spans="1:25" ht="18.75" customHeight="1">
      <c r="A19" s="17">
        <v>13</v>
      </c>
      <c r="B19" s="14" t="s">
        <v>54</v>
      </c>
      <c r="C19" s="40">
        <v>27</v>
      </c>
      <c r="D19" s="23">
        <v>13.4</v>
      </c>
      <c r="E19" s="41">
        <f>106/27</f>
        <v>3.925925925925926</v>
      </c>
      <c r="F19" s="42">
        <f>202/27</f>
        <v>7.4814814814814818</v>
      </c>
      <c r="G19" s="36">
        <v>52.7</v>
      </c>
      <c r="H19" s="43">
        <f>26/27</f>
        <v>0.96296296296296291</v>
      </c>
      <c r="I19" s="42">
        <f>71/27</f>
        <v>2.6296296296296298</v>
      </c>
      <c r="J19" s="26">
        <v>36.6</v>
      </c>
      <c r="K19" s="41">
        <f>71/27</f>
        <v>2.6296296296296298</v>
      </c>
      <c r="L19" s="42">
        <f>108/27</f>
        <v>4</v>
      </c>
      <c r="M19" s="36">
        <v>65.7</v>
      </c>
      <c r="N19" s="57">
        <v>9.1999999999999993</v>
      </c>
      <c r="O19" s="44">
        <v>2.6</v>
      </c>
      <c r="P19" s="45">
        <v>11.8</v>
      </c>
      <c r="Q19" s="40">
        <v>1.2</v>
      </c>
      <c r="R19" s="72">
        <v>1.4</v>
      </c>
      <c r="S19" s="46">
        <v>2.2999999999999998</v>
      </c>
      <c r="T19" s="91">
        <v>0.6</v>
      </c>
      <c r="U19" s="57">
        <v>3.3</v>
      </c>
      <c r="V19" s="85" t="s">
        <v>27</v>
      </c>
      <c r="W19" s="40" t="s">
        <v>55</v>
      </c>
      <c r="X19" s="23">
        <v>19.600000000000001</v>
      </c>
      <c r="Y19" s="106" t="s">
        <v>49</v>
      </c>
    </row>
    <row r="20" spans="1:25" ht="18.75" customHeight="1">
      <c r="A20" s="16">
        <v>14</v>
      </c>
      <c r="B20" s="10" t="s">
        <v>56</v>
      </c>
      <c r="C20" s="47">
        <v>4</v>
      </c>
      <c r="D20" s="22">
        <v>16.5</v>
      </c>
      <c r="E20" s="48">
        <f>27/4</f>
        <v>6.75</v>
      </c>
      <c r="F20" s="49">
        <f>57/4</f>
        <v>14.25</v>
      </c>
      <c r="G20" s="35">
        <v>47.4</v>
      </c>
      <c r="H20" s="50">
        <f>2/4</f>
        <v>0.5</v>
      </c>
      <c r="I20" s="49">
        <v>1</v>
      </c>
      <c r="J20" s="27">
        <v>50</v>
      </c>
      <c r="K20" s="48">
        <f>6/4</f>
        <v>1.5</v>
      </c>
      <c r="L20" s="49">
        <f>12/4</f>
        <v>3</v>
      </c>
      <c r="M20" s="34">
        <v>50</v>
      </c>
      <c r="N20" s="50">
        <v>8.3000000000000007</v>
      </c>
      <c r="O20" s="53">
        <v>4.3</v>
      </c>
      <c r="P20" s="51">
        <v>12.5</v>
      </c>
      <c r="Q20" s="47">
        <v>0.3</v>
      </c>
      <c r="R20" s="76">
        <v>1</v>
      </c>
      <c r="S20" s="55">
        <v>1.8</v>
      </c>
      <c r="T20" s="90">
        <v>0.5</v>
      </c>
      <c r="U20" s="54">
        <v>1.8</v>
      </c>
      <c r="V20" s="86" t="s">
        <v>27</v>
      </c>
      <c r="W20" s="47" t="s">
        <v>57</v>
      </c>
      <c r="X20" s="22">
        <v>19.5</v>
      </c>
      <c r="Y20" s="105" t="s">
        <v>45</v>
      </c>
    </row>
    <row r="21" spans="1:25" ht="18.75" customHeight="1">
      <c r="A21" s="17">
        <v>15</v>
      </c>
      <c r="B21" s="14" t="s">
        <v>58</v>
      </c>
      <c r="C21" s="40">
        <v>8</v>
      </c>
      <c r="D21" s="20">
        <v>16.5</v>
      </c>
      <c r="E21" s="41">
        <f>42/8</f>
        <v>5.25</v>
      </c>
      <c r="F21" s="42">
        <f>82/8</f>
        <v>10.25</v>
      </c>
      <c r="G21" s="33">
        <v>51.2</v>
      </c>
      <c r="H21" s="59">
        <v>0</v>
      </c>
      <c r="I21" s="42">
        <f>2/8</f>
        <v>0.25</v>
      </c>
      <c r="J21" s="26">
        <v>0</v>
      </c>
      <c r="K21" s="41">
        <f>48/8</f>
        <v>6</v>
      </c>
      <c r="L21" s="42">
        <f>66/8</f>
        <v>8.25</v>
      </c>
      <c r="M21" s="33">
        <v>72.7</v>
      </c>
      <c r="N21" s="43">
        <v>5.8</v>
      </c>
      <c r="O21" s="58">
        <v>2.8</v>
      </c>
      <c r="P21" s="45">
        <v>8.5</v>
      </c>
      <c r="Q21" s="82">
        <v>0.6</v>
      </c>
      <c r="R21" s="77">
        <v>1</v>
      </c>
      <c r="S21" s="41">
        <v>2.1</v>
      </c>
      <c r="T21" s="88">
        <v>0.4</v>
      </c>
      <c r="U21" s="43">
        <v>3.5</v>
      </c>
      <c r="V21" s="85" t="s">
        <v>27</v>
      </c>
      <c r="W21" s="40" t="s">
        <v>44</v>
      </c>
      <c r="X21" s="20">
        <v>19.3</v>
      </c>
      <c r="Y21" s="106" t="s">
        <v>49</v>
      </c>
    </row>
    <row r="22" spans="1:25" ht="18.75" customHeight="1">
      <c r="A22" s="16">
        <v>16</v>
      </c>
      <c r="B22" s="9" t="s">
        <v>59</v>
      </c>
      <c r="C22" s="47">
        <v>12</v>
      </c>
      <c r="D22" s="22">
        <v>11.9</v>
      </c>
      <c r="E22" s="48">
        <f>57/12</f>
        <v>4.75</v>
      </c>
      <c r="F22" s="49">
        <f>104/12</f>
        <v>8.6666666666666661</v>
      </c>
      <c r="G22" s="35">
        <v>54.8</v>
      </c>
      <c r="H22" s="50">
        <f>1/12</f>
        <v>8.3333333333333329E-2</v>
      </c>
      <c r="I22" s="49">
        <v>0.1</v>
      </c>
      <c r="J22" s="28">
        <v>100</v>
      </c>
      <c r="K22" s="48">
        <f>26/12</f>
        <v>2.1666666666666665</v>
      </c>
      <c r="L22" s="49">
        <f>50/12</f>
        <v>4.166666666666667</v>
      </c>
      <c r="M22" s="34">
        <v>52</v>
      </c>
      <c r="N22" s="54">
        <v>7.2</v>
      </c>
      <c r="O22" s="60">
        <v>4.7</v>
      </c>
      <c r="P22" s="51">
        <v>11.8</v>
      </c>
      <c r="Q22" s="47">
        <v>1.3</v>
      </c>
      <c r="R22" s="78">
        <v>0.2</v>
      </c>
      <c r="S22" s="55">
        <v>1.8</v>
      </c>
      <c r="T22" s="90">
        <v>0.8</v>
      </c>
      <c r="U22" s="54">
        <v>2.1</v>
      </c>
      <c r="V22" s="86" t="s">
        <v>27</v>
      </c>
      <c r="W22" s="47" t="s">
        <v>60</v>
      </c>
      <c r="X22" s="22">
        <v>18.8</v>
      </c>
      <c r="Y22" s="105" t="s">
        <v>29</v>
      </c>
    </row>
    <row r="23" spans="1:25" ht="18.75" customHeight="1">
      <c r="A23" s="17">
        <v>17</v>
      </c>
      <c r="B23" s="14" t="s">
        <v>61</v>
      </c>
      <c r="C23" s="40">
        <v>26</v>
      </c>
      <c r="D23" s="23">
        <v>17.3</v>
      </c>
      <c r="E23" s="41">
        <f>145/26</f>
        <v>5.5769230769230766</v>
      </c>
      <c r="F23" s="42">
        <f>278/26</f>
        <v>10.692307692307692</v>
      </c>
      <c r="G23" s="36">
        <v>52.2</v>
      </c>
      <c r="H23" s="43">
        <v>1</v>
      </c>
      <c r="I23" s="44">
        <f>65/26</f>
        <v>2.5</v>
      </c>
      <c r="J23" s="26">
        <v>40</v>
      </c>
      <c r="K23" s="41">
        <f>82/26</f>
        <v>3.1538461538461537</v>
      </c>
      <c r="L23" s="42">
        <f>104/26</f>
        <v>4</v>
      </c>
      <c r="M23" s="36">
        <v>78.8</v>
      </c>
      <c r="N23" s="57">
        <v>5.4</v>
      </c>
      <c r="O23" s="42">
        <v>2</v>
      </c>
      <c r="P23" s="61">
        <v>7.2</v>
      </c>
      <c r="Q23" s="40">
        <v>1.3</v>
      </c>
      <c r="R23" s="77">
        <v>1</v>
      </c>
      <c r="S23" s="46">
        <v>2.1</v>
      </c>
      <c r="T23" s="88">
        <v>1</v>
      </c>
      <c r="U23" s="57">
        <v>2.9</v>
      </c>
      <c r="V23" s="85" t="s">
        <v>27</v>
      </c>
      <c r="W23" s="93" t="s">
        <v>62</v>
      </c>
      <c r="X23" s="23">
        <v>18.600000000000001</v>
      </c>
      <c r="Y23" s="106" t="s">
        <v>49</v>
      </c>
    </row>
    <row r="24" spans="1:25" ht="18.75" customHeight="1">
      <c r="A24" s="16">
        <v>18</v>
      </c>
      <c r="B24" s="9" t="s">
        <v>63</v>
      </c>
      <c r="C24" s="47">
        <v>22</v>
      </c>
      <c r="D24" s="21">
        <v>17.100000000000001</v>
      </c>
      <c r="E24" s="48">
        <f>95/22</f>
        <v>4.3181818181818183</v>
      </c>
      <c r="F24" s="49">
        <f>197/22</f>
        <v>8.954545454545455</v>
      </c>
      <c r="G24" s="34">
        <v>48.2</v>
      </c>
      <c r="H24" s="50">
        <f>32/22</f>
        <v>1.4545454545454546</v>
      </c>
      <c r="I24" s="49">
        <f>97/22</f>
        <v>4.4090909090909092</v>
      </c>
      <c r="J24" s="27">
        <v>33</v>
      </c>
      <c r="K24" s="48">
        <f>90/22</f>
        <v>4.0909090909090908</v>
      </c>
      <c r="L24" s="49">
        <f>128/22</f>
        <v>5.8181818181818183</v>
      </c>
      <c r="M24" s="34">
        <v>70.3</v>
      </c>
      <c r="N24" s="54">
        <v>5.4</v>
      </c>
      <c r="O24" s="53">
        <v>1.6</v>
      </c>
      <c r="P24" s="51">
        <v>7</v>
      </c>
      <c r="Q24" s="47">
        <v>2.5</v>
      </c>
      <c r="R24" s="76">
        <v>0.2</v>
      </c>
      <c r="S24" s="48">
        <v>2.2999999999999998</v>
      </c>
      <c r="T24" s="90">
        <v>0.8</v>
      </c>
      <c r="U24" s="54">
        <v>1.4</v>
      </c>
      <c r="V24" s="86" t="s">
        <v>27</v>
      </c>
      <c r="W24" s="47" t="s">
        <v>44</v>
      </c>
      <c r="X24" s="22">
        <v>18.600000000000001</v>
      </c>
      <c r="Y24" s="105" t="s">
        <v>42</v>
      </c>
    </row>
    <row r="25" spans="1:25" ht="18.75" customHeight="1">
      <c r="A25" s="17">
        <v>19</v>
      </c>
      <c r="B25" s="13" t="s">
        <v>64</v>
      </c>
      <c r="C25" s="40">
        <v>7</v>
      </c>
      <c r="D25" s="23">
        <v>17.899999999999999</v>
      </c>
      <c r="E25" s="41">
        <f>25/7</f>
        <v>3.5714285714285716</v>
      </c>
      <c r="F25" s="42">
        <f>44/7</f>
        <v>6.2857142857142856</v>
      </c>
      <c r="G25" s="36">
        <v>56.8</v>
      </c>
      <c r="H25" s="43">
        <f>15/7</f>
        <v>2.1428571428571428</v>
      </c>
      <c r="I25" s="42">
        <f>46/7</f>
        <v>6.5714285714285712</v>
      </c>
      <c r="J25" s="26">
        <v>32.6</v>
      </c>
      <c r="K25" s="41">
        <f>30/7</f>
        <v>4.2857142857142856</v>
      </c>
      <c r="L25" s="42">
        <f>44/7</f>
        <v>6.2857142857142856</v>
      </c>
      <c r="M25" s="33">
        <v>68.2</v>
      </c>
      <c r="N25" s="57">
        <v>2.9</v>
      </c>
      <c r="O25" s="42">
        <v>0.9</v>
      </c>
      <c r="P25" s="45">
        <v>3.7</v>
      </c>
      <c r="Q25" s="82">
        <v>4.7</v>
      </c>
      <c r="R25" s="72">
        <v>0.1</v>
      </c>
      <c r="S25" s="41">
        <v>3</v>
      </c>
      <c r="T25" s="88">
        <v>2.1</v>
      </c>
      <c r="U25" s="57">
        <v>2.9</v>
      </c>
      <c r="V25" s="85" t="s">
        <v>27</v>
      </c>
      <c r="W25" s="40" t="s">
        <v>65</v>
      </c>
      <c r="X25" s="20">
        <v>18.3</v>
      </c>
      <c r="Y25" s="106" t="s">
        <v>45</v>
      </c>
    </row>
    <row r="26" spans="1:25" ht="18.75" customHeight="1">
      <c r="A26" s="16">
        <v>20</v>
      </c>
      <c r="B26" s="10" t="s">
        <v>66</v>
      </c>
      <c r="C26" s="47">
        <v>14</v>
      </c>
      <c r="D26" s="21">
        <v>17.7</v>
      </c>
      <c r="E26" s="48">
        <f>95/14</f>
        <v>6.7857142857142856</v>
      </c>
      <c r="F26" s="49">
        <f>183/14</f>
        <v>13.071428571428571</v>
      </c>
      <c r="G26" s="34">
        <v>51.9</v>
      </c>
      <c r="H26" s="50">
        <f>5/14</f>
        <v>0.35714285714285715</v>
      </c>
      <c r="I26" s="49">
        <f>24/14</f>
        <v>1.7142857142857142</v>
      </c>
      <c r="J26" s="27">
        <v>20.8</v>
      </c>
      <c r="K26" s="48">
        <f>43/14</f>
        <v>3.0714285714285716</v>
      </c>
      <c r="L26" s="49">
        <f>97/14</f>
        <v>6.9285714285714288</v>
      </c>
      <c r="M26" s="38">
        <v>44.3</v>
      </c>
      <c r="N26" s="50">
        <v>6</v>
      </c>
      <c r="O26" s="53">
        <v>2.9</v>
      </c>
      <c r="P26" s="51">
        <v>8.9</v>
      </c>
      <c r="Q26" s="47">
        <v>0.3</v>
      </c>
      <c r="R26" s="76">
        <v>1.5</v>
      </c>
      <c r="S26" s="48">
        <v>2.2999999999999998</v>
      </c>
      <c r="T26" s="90">
        <v>0.6</v>
      </c>
      <c r="U26" s="54">
        <v>1.9</v>
      </c>
      <c r="V26" s="86" t="s">
        <v>27</v>
      </c>
      <c r="W26" s="47" t="s">
        <v>67</v>
      </c>
      <c r="X26" s="22">
        <v>18.100000000000001</v>
      </c>
      <c r="Y26" s="105" t="s">
        <v>49</v>
      </c>
    </row>
    <row r="27" spans="1:25" ht="18.75" customHeight="1">
      <c r="A27" s="17">
        <v>21</v>
      </c>
      <c r="B27" s="14" t="s">
        <v>68</v>
      </c>
      <c r="C27" s="40">
        <v>21</v>
      </c>
      <c r="D27" s="20">
        <v>16</v>
      </c>
      <c r="E27" s="41">
        <f>92/21</f>
        <v>4.3809523809523814</v>
      </c>
      <c r="F27" s="42">
        <f>175/21</f>
        <v>8.3333333333333339</v>
      </c>
      <c r="G27" s="36">
        <v>52.6</v>
      </c>
      <c r="H27" s="43">
        <f>20/21</f>
        <v>0.95238095238095233</v>
      </c>
      <c r="I27" s="42">
        <f>70/21</f>
        <v>3.3333333333333335</v>
      </c>
      <c r="J27" s="26">
        <v>28.6</v>
      </c>
      <c r="K27" s="41">
        <f>91/21</f>
        <v>4.333333333333333</v>
      </c>
      <c r="L27" s="42">
        <f>117/21</f>
        <v>5.5714285714285712</v>
      </c>
      <c r="M27" s="33">
        <v>77.8</v>
      </c>
      <c r="N27" s="57">
        <v>3.9</v>
      </c>
      <c r="O27" s="42">
        <v>1.9</v>
      </c>
      <c r="P27" s="45">
        <v>5.7</v>
      </c>
      <c r="Q27" s="82">
        <v>2</v>
      </c>
      <c r="R27" s="72">
        <v>0.7</v>
      </c>
      <c r="S27" s="46">
        <v>1.9</v>
      </c>
      <c r="T27" s="91">
        <v>0.6</v>
      </c>
      <c r="U27" s="43">
        <v>2.8</v>
      </c>
      <c r="V27" s="85" t="s">
        <v>27</v>
      </c>
      <c r="W27" s="40">
        <v>25.8</v>
      </c>
      <c r="X27" s="20">
        <v>18</v>
      </c>
      <c r="Y27" s="106" t="s">
        <v>29</v>
      </c>
    </row>
    <row r="28" spans="1:25" ht="18.75" customHeight="1">
      <c r="A28" s="16">
        <v>22</v>
      </c>
      <c r="B28" s="9" t="s">
        <v>69</v>
      </c>
      <c r="C28" s="47">
        <v>16</v>
      </c>
      <c r="D28" s="21">
        <v>16.899999999999999</v>
      </c>
      <c r="E28" s="48">
        <f>68/16</f>
        <v>4.25</v>
      </c>
      <c r="F28" s="49">
        <f>117/16</f>
        <v>7.3125</v>
      </c>
      <c r="G28" s="35">
        <v>58.1</v>
      </c>
      <c r="H28" s="50">
        <f>27/16</f>
        <v>1.6875</v>
      </c>
      <c r="I28" s="49">
        <f>73/16</f>
        <v>4.5625</v>
      </c>
      <c r="J28" s="27">
        <v>37</v>
      </c>
      <c r="K28" s="48">
        <f>54/16</f>
        <v>3.375</v>
      </c>
      <c r="L28" s="49">
        <f>75/16</f>
        <v>4.6875</v>
      </c>
      <c r="M28" s="34">
        <v>72</v>
      </c>
      <c r="N28" s="54">
        <v>4.5</v>
      </c>
      <c r="O28" s="53">
        <v>1.1000000000000001</v>
      </c>
      <c r="P28" s="51">
        <v>5.6</v>
      </c>
      <c r="Q28" s="47">
        <v>1.4</v>
      </c>
      <c r="R28" s="74">
        <v>0.2</v>
      </c>
      <c r="S28" s="55">
        <v>1.9</v>
      </c>
      <c r="T28" s="89">
        <v>1.2</v>
      </c>
      <c r="U28" s="54">
        <v>1.6</v>
      </c>
      <c r="V28" s="86" t="s">
        <v>27</v>
      </c>
      <c r="W28" s="47">
        <v>30.3</v>
      </c>
      <c r="X28" s="21">
        <v>17.7</v>
      </c>
      <c r="Y28" s="107" t="s">
        <v>49</v>
      </c>
    </row>
    <row r="29" spans="1:25" ht="18.75" customHeight="1">
      <c r="A29" s="17">
        <v>23</v>
      </c>
      <c r="B29" s="14" t="s">
        <v>70</v>
      </c>
      <c r="C29" s="40">
        <v>5</v>
      </c>
      <c r="D29" s="20">
        <v>20.8</v>
      </c>
      <c r="E29" s="41">
        <f>29/5</f>
        <v>5.8</v>
      </c>
      <c r="F29" s="42">
        <f>48/5</f>
        <v>9.6</v>
      </c>
      <c r="G29" s="36">
        <v>60.4</v>
      </c>
      <c r="H29" s="43">
        <f>10/5</f>
        <v>2</v>
      </c>
      <c r="I29" s="42">
        <f>29/5</f>
        <v>5.8</v>
      </c>
      <c r="J29" s="26">
        <v>34.5</v>
      </c>
      <c r="K29" s="41">
        <f>16/5</f>
        <v>3.2</v>
      </c>
      <c r="L29" s="42">
        <f>19/5</f>
        <v>3.8</v>
      </c>
      <c r="M29" s="33">
        <v>84.2</v>
      </c>
      <c r="N29" s="57">
        <v>1.8</v>
      </c>
      <c r="O29" s="58">
        <v>0.8</v>
      </c>
      <c r="P29" s="45">
        <v>2.6</v>
      </c>
      <c r="Q29" s="40">
        <v>2.2000000000000002</v>
      </c>
      <c r="R29" s="75">
        <v>0</v>
      </c>
      <c r="S29" s="46">
        <v>1.4</v>
      </c>
      <c r="T29" s="91">
        <v>1.2</v>
      </c>
      <c r="U29" s="57">
        <v>2.2000000000000002</v>
      </c>
      <c r="V29" s="85" t="s">
        <v>27</v>
      </c>
      <c r="W29" s="40" t="s">
        <v>28</v>
      </c>
      <c r="X29" s="20">
        <v>17.2</v>
      </c>
      <c r="Y29" s="108" t="s">
        <v>42</v>
      </c>
    </row>
    <row r="30" spans="1:25" ht="18.75" customHeight="1">
      <c r="A30" s="16">
        <v>24</v>
      </c>
      <c r="B30" s="9" t="s">
        <v>71</v>
      </c>
      <c r="C30" s="47">
        <v>3</v>
      </c>
      <c r="D30" s="22">
        <v>13.7</v>
      </c>
      <c r="E30" s="48">
        <f>8/3</f>
        <v>2.6666666666666665</v>
      </c>
      <c r="F30" s="49">
        <f>14/3</f>
        <v>4.666666666666667</v>
      </c>
      <c r="G30" s="34">
        <v>57.1</v>
      </c>
      <c r="H30" s="50">
        <f>7/3</f>
        <v>2.3333333333333335</v>
      </c>
      <c r="I30" s="49">
        <f>20/3</f>
        <v>6.666666666666667</v>
      </c>
      <c r="J30" s="27">
        <v>35</v>
      </c>
      <c r="K30" s="48">
        <f>4/3</f>
        <v>1.3333333333333333</v>
      </c>
      <c r="L30" s="49">
        <f>6/3</f>
        <v>2</v>
      </c>
      <c r="M30" s="34">
        <v>66.7</v>
      </c>
      <c r="N30" s="50">
        <v>6</v>
      </c>
      <c r="O30" s="53">
        <v>0.7</v>
      </c>
      <c r="P30" s="51">
        <v>6.7</v>
      </c>
      <c r="Q30" s="81">
        <v>4</v>
      </c>
      <c r="R30" s="76">
        <v>3</v>
      </c>
      <c r="S30" s="48">
        <v>2.7</v>
      </c>
      <c r="T30" s="89">
        <v>1</v>
      </c>
      <c r="U30" s="50">
        <v>1.7</v>
      </c>
      <c r="V30" s="86" t="s">
        <v>27</v>
      </c>
      <c r="W30" s="47" t="s">
        <v>72</v>
      </c>
      <c r="X30" s="22">
        <v>17</v>
      </c>
      <c r="Y30" s="107" t="s">
        <v>42</v>
      </c>
    </row>
    <row r="31" spans="1:25" ht="18.75" customHeight="1">
      <c r="A31" s="17">
        <v>25</v>
      </c>
      <c r="B31" s="13" t="s">
        <v>73</v>
      </c>
      <c r="C31" s="40">
        <v>20</v>
      </c>
      <c r="D31" s="20">
        <v>20.100000000000001</v>
      </c>
      <c r="E31" s="41">
        <f>101/20</f>
        <v>5.05</v>
      </c>
      <c r="F31" s="42">
        <f>206/20</f>
        <v>10.3</v>
      </c>
      <c r="G31" s="33">
        <v>49</v>
      </c>
      <c r="H31" s="43">
        <f>24/20</f>
        <v>1.2</v>
      </c>
      <c r="I31" s="42">
        <f>75/20</f>
        <v>3.75</v>
      </c>
      <c r="J31" s="26">
        <v>32</v>
      </c>
      <c r="K31" s="62">
        <f>127/20</f>
        <v>6.35</v>
      </c>
      <c r="L31" s="42">
        <f>147/20</f>
        <v>7.35</v>
      </c>
      <c r="M31" s="39">
        <v>86.4</v>
      </c>
      <c r="N31" s="57">
        <v>2.2999999999999998</v>
      </c>
      <c r="O31" s="42">
        <v>0.7</v>
      </c>
      <c r="P31" s="45">
        <v>3</v>
      </c>
      <c r="Q31" s="82">
        <v>2.2999999999999998</v>
      </c>
      <c r="R31" s="72">
        <v>0.1</v>
      </c>
      <c r="S31" s="46">
        <v>2.9</v>
      </c>
      <c r="T31" s="91">
        <v>1.1000000000000001</v>
      </c>
      <c r="U31" s="43">
        <v>1.8</v>
      </c>
      <c r="V31" s="85" t="s">
        <v>27</v>
      </c>
      <c r="W31" s="40" t="s">
        <v>33</v>
      </c>
      <c r="X31" s="23">
        <v>16.899999999999999</v>
      </c>
      <c r="Y31" s="108" t="s">
        <v>36</v>
      </c>
    </row>
    <row r="32" spans="1:25" ht="18.75" customHeight="1">
      <c r="A32" s="16">
        <v>26</v>
      </c>
      <c r="B32" s="9" t="s">
        <v>74</v>
      </c>
      <c r="C32" s="47">
        <v>37</v>
      </c>
      <c r="D32" s="21">
        <v>13.1</v>
      </c>
      <c r="E32" s="48">
        <f>124/37</f>
        <v>3.3513513513513513</v>
      </c>
      <c r="F32" s="49">
        <f>208/37</f>
        <v>5.6216216216216219</v>
      </c>
      <c r="G32" s="35">
        <v>59.6</v>
      </c>
      <c r="H32" s="50">
        <v>1</v>
      </c>
      <c r="I32" s="49">
        <f>139/37</f>
        <v>3.7567567567567566</v>
      </c>
      <c r="J32" s="29">
        <v>26.6</v>
      </c>
      <c r="K32" s="48">
        <f>126/37</f>
        <v>3.4054054054054053</v>
      </c>
      <c r="L32" s="49">
        <f>161/37</f>
        <v>4.3513513513513518</v>
      </c>
      <c r="M32" s="35">
        <v>78.3</v>
      </c>
      <c r="N32" s="54">
        <v>4.7</v>
      </c>
      <c r="O32" s="53">
        <v>1.3</v>
      </c>
      <c r="P32" s="63">
        <v>6.1</v>
      </c>
      <c r="Q32" s="47">
        <v>3.6</v>
      </c>
      <c r="R32" s="74">
        <v>0.7</v>
      </c>
      <c r="S32" s="55">
        <v>2.2999999999999998</v>
      </c>
      <c r="T32" s="89">
        <v>1</v>
      </c>
      <c r="U32" s="50">
        <v>3</v>
      </c>
      <c r="V32" s="86" t="s">
        <v>27</v>
      </c>
      <c r="W32" s="94" t="s">
        <v>75</v>
      </c>
      <c r="X32" s="21">
        <v>16.899999999999999</v>
      </c>
      <c r="Y32" s="107" t="s">
        <v>42</v>
      </c>
    </row>
    <row r="33" spans="1:25" ht="18.75" customHeight="1">
      <c r="A33" s="17">
        <v>27</v>
      </c>
      <c r="B33" s="13" t="s">
        <v>76</v>
      </c>
      <c r="C33" s="40">
        <v>21</v>
      </c>
      <c r="D33" s="20">
        <v>16.399999999999999</v>
      </c>
      <c r="E33" s="41">
        <f>67/21</f>
        <v>3.1904761904761907</v>
      </c>
      <c r="F33" s="42">
        <f>129/21</f>
        <v>6.1428571428571432</v>
      </c>
      <c r="G33" s="33">
        <v>51.9</v>
      </c>
      <c r="H33" s="43">
        <f>42/21</f>
        <v>2</v>
      </c>
      <c r="I33" s="42">
        <f>121/21</f>
        <v>5.7619047619047619</v>
      </c>
      <c r="J33" s="26">
        <v>34.700000000000003</v>
      </c>
      <c r="K33" s="41">
        <f>85/21</f>
        <v>4.0476190476190474</v>
      </c>
      <c r="L33" s="42">
        <f>105/21</f>
        <v>5</v>
      </c>
      <c r="M33" s="33">
        <v>81</v>
      </c>
      <c r="N33" s="43">
        <v>2.7</v>
      </c>
      <c r="O33" s="42">
        <v>0.5</v>
      </c>
      <c r="P33" s="45">
        <v>3.2</v>
      </c>
      <c r="Q33" s="83">
        <v>2.1</v>
      </c>
      <c r="R33" s="72">
        <v>0.1</v>
      </c>
      <c r="S33" s="41">
        <v>2.2000000000000002</v>
      </c>
      <c r="T33" s="91">
        <v>1.6</v>
      </c>
      <c r="U33" s="57">
        <v>1.7</v>
      </c>
      <c r="V33" s="85" t="s">
        <v>27</v>
      </c>
      <c r="W33" s="40" t="s">
        <v>77</v>
      </c>
      <c r="X33" s="20">
        <v>16.8</v>
      </c>
      <c r="Y33" s="108" t="s">
        <v>36</v>
      </c>
    </row>
    <row r="34" spans="1:25" ht="18.75" customHeight="1">
      <c r="A34" s="16">
        <v>28</v>
      </c>
      <c r="B34" s="9" t="s">
        <v>78</v>
      </c>
      <c r="C34" s="47">
        <v>11</v>
      </c>
      <c r="D34" s="21">
        <v>15.7</v>
      </c>
      <c r="E34" s="48">
        <f>34/11</f>
        <v>3.0909090909090908</v>
      </c>
      <c r="F34" s="49">
        <f>76/11</f>
        <v>6.9090909090909092</v>
      </c>
      <c r="G34" s="34">
        <v>44.7</v>
      </c>
      <c r="H34" s="50">
        <f>24/11</f>
        <v>2.1818181818181817</v>
      </c>
      <c r="I34" s="49">
        <f>72/11</f>
        <v>6.5454545454545459</v>
      </c>
      <c r="J34" s="27">
        <v>33.299999999999997</v>
      </c>
      <c r="K34" s="48">
        <f>33/11</f>
        <v>3</v>
      </c>
      <c r="L34" s="49">
        <f>40/11</f>
        <v>3.6363636363636362</v>
      </c>
      <c r="M34" s="34">
        <v>82.5</v>
      </c>
      <c r="N34" s="54">
        <v>4.4000000000000004</v>
      </c>
      <c r="O34" s="49">
        <v>0.6</v>
      </c>
      <c r="P34" s="51">
        <v>5</v>
      </c>
      <c r="Q34" s="81">
        <v>4</v>
      </c>
      <c r="R34" s="78">
        <v>0.3</v>
      </c>
      <c r="S34" s="55">
        <v>2.2999999999999998</v>
      </c>
      <c r="T34" s="90">
        <v>1.7</v>
      </c>
      <c r="U34" s="54">
        <v>1.8</v>
      </c>
      <c r="V34" s="86" t="s">
        <v>27</v>
      </c>
      <c r="W34" s="47" t="s">
        <v>79</v>
      </c>
      <c r="X34" s="21">
        <v>16.399999999999999</v>
      </c>
      <c r="Y34" s="107" t="s">
        <v>45</v>
      </c>
    </row>
    <row r="35" spans="1:25" ht="18.75" customHeight="1">
      <c r="A35" s="17">
        <v>29</v>
      </c>
      <c r="B35" s="13" t="s">
        <v>80</v>
      </c>
      <c r="C35" s="40">
        <v>12</v>
      </c>
      <c r="D35" s="20">
        <v>14.5</v>
      </c>
      <c r="E35" s="41">
        <f>62/12</f>
        <v>5.166666666666667</v>
      </c>
      <c r="F35" s="42">
        <f>118/12</f>
        <v>9.8333333333333339</v>
      </c>
      <c r="G35" s="33">
        <v>52.5</v>
      </c>
      <c r="H35" s="59">
        <v>0</v>
      </c>
      <c r="I35" s="64">
        <v>0</v>
      </c>
      <c r="J35" s="30">
        <v>0</v>
      </c>
      <c r="K35" s="41">
        <f>50/12</f>
        <v>4.166666666666667</v>
      </c>
      <c r="L35" s="42">
        <f>83/12</f>
        <v>6.916666666666667</v>
      </c>
      <c r="M35" s="33">
        <v>60.2</v>
      </c>
      <c r="N35" s="43">
        <v>3.8</v>
      </c>
      <c r="O35" s="42">
        <v>2</v>
      </c>
      <c r="P35" s="45">
        <v>5.8</v>
      </c>
      <c r="Q35" s="83">
        <v>1.1000000000000001</v>
      </c>
      <c r="R35" s="72">
        <v>0.6</v>
      </c>
      <c r="S35" s="41">
        <v>1.8</v>
      </c>
      <c r="T35" s="91">
        <v>0.6</v>
      </c>
      <c r="U35" s="43">
        <v>3</v>
      </c>
      <c r="V35" s="85" t="s">
        <v>27</v>
      </c>
      <c r="W35" s="40" t="s">
        <v>81</v>
      </c>
      <c r="X35" s="20">
        <v>16</v>
      </c>
      <c r="Y35" s="108" t="s">
        <v>49</v>
      </c>
    </row>
    <row r="36" spans="1:25" ht="18.75" customHeight="1">
      <c r="A36" s="16">
        <v>30</v>
      </c>
      <c r="B36" s="9" t="s">
        <v>82</v>
      </c>
      <c r="C36" s="47">
        <v>13</v>
      </c>
      <c r="D36" s="21">
        <v>12.2</v>
      </c>
      <c r="E36" s="48">
        <f>60/13</f>
        <v>4.615384615384615</v>
      </c>
      <c r="F36" s="49">
        <f>104/13</f>
        <v>8</v>
      </c>
      <c r="G36" s="34">
        <v>57.7</v>
      </c>
      <c r="H36" s="50">
        <f>9/13</f>
        <v>0.69230769230769229</v>
      </c>
      <c r="I36" s="49">
        <f>28/13</f>
        <v>2.1538461538461537</v>
      </c>
      <c r="J36" s="27">
        <v>32.1</v>
      </c>
      <c r="K36" s="48">
        <f>12/13</f>
        <v>0.92307692307692313</v>
      </c>
      <c r="L36" s="49">
        <f>18/13</f>
        <v>1.3846153846153846</v>
      </c>
      <c r="M36" s="34">
        <v>66.7</v>
      </c>
      <c r="N36" s="54">
        <v>5.6</v>
      </c>
      <c r="O36" s="53">
        <v>2.9</v>
      </c>
      <c r="P36" s="51">
        <v>8.5</v>
      </c>
      <c r="Q36" s="47">
        <v>0.7</v>
      </c>
      <c r="R36" s="76">
        <v>1.4</v>
      </c>
      <c r="S36" s="48">
        <v>1.5</v>
      </c>
      <c r="T36" s="90">
        <v>0.6</v>
      </c>
      <c r="U36" s="54">
        <v>2.6</v>
      </c>
      <c r="V36" s="86" t="s">
        <v>27</v>
      </c>
      <c r="W36" s="47" t="s">
        <v>83</v>
      </c>
      <c r="X36" s="22">
        <v>16</v>
      </c>
      <c r="Y36" s="107" t="s">
        <v>49</v>
      </c>
    </row>
    <row r="37" spans="1:25" ht="18.75" customHeight="1">
      <c r="A37" s="17">
        <v>31</v>
      </c>
      <c r="B37" s="14" t="s">
        <v>84</v>
      </c>
      <c r="C37" s="40">
        <v>8</v>
      </c>
      <c r="D37" s="20">
        <v>13.1</v>
      </c>
      <c r="E37" s="41">
        <f>19/8</f>
        <v>2.375</v>
      </c>
      <c r="F37" s="42">
        <f>45/8</f>
        <v>5.625</v>
      </c>
      <c r="G37" s="36">
        <v>42.2</v>
      </c>
      <c r="H37" s="43">
        <f>11/8</f>
        <v>1.375</v>
      </c>
      <c r="I37" s="42">
        <f>34/8</f>
        <v>4.25</v>
      </c>
      <c r="J37" s="26">
        <v>32.4</v>
      </c>
      <c r="K37" s="41">
        <f>34/8</f>
        <v>4.25</v>
      </c>
      <c r="L37" s="42">
        <f>65/8</f>
        <v>8.125</v>
      </c>
      <c r="M37" s="33">
        <v>61.8</v>
      </c>
      <c r="N37" s="57">
        <v>4.4000000000000004</v>
      </c>
      <c r="O37" s="58">
        <v>1.5</v>
      </c>
      <c r="P37" s="45">
        <v>5.9</v>
      </c>
      <c r="Q37" s="40">
        <v>4.3</v>
      </c>
      <c r="R37" s="75">
        <v>0</v>
      </c>
      <c r="S37" s="46">
        <v>3.4</v>
      </c>
      <c r="T37" s="91">
        <v>2.4</v>
      </c>
      <c r="U37" s="57">
        <v>3.6</v>
      </c>
      <c r="V37" s="85" t="s">
        <v>27</v>
      </c>
      <c r="W37" s="40" t="s">
        <v>38</v>
      </c>
      <c r="X37" s="20">
        <v>15.9</v>
      </c>
      <c r="Y37" s="108" t="s">
        <v>45</v>
      </c>
    </row>
    <row r="38" spans="1:25" ht="18.75" customHeight="1">
      <c r="A38" s="16">
        <v>32</v>
      </c>
      <c r="B38" s="9" t="s">
        <v>85</v>
      </c>
      <c r="C38" s="47">
        <v>7</v>
      </c>
      <c r="D38" s="22">
        <v>14.4</v>
      </c>
      <c r="E38" s="48">
        <f>35/7</f>
        <v>5</v>
      </c>
      <c r="F38" s="49">
        <f>61/7</f>
        <v>8.7142857142857135</v>
      </c>
      <c r="G38" s="34">
        <v>57.4</v>
      </c>
      <c r="H38" s="50">
        <f>6/7</f>
        <v>0.8571428571428571</v>
      </c>
      <c r="I38" s="49">
        <f>23/7</f>
        <v>3.2857142857142856</v>
      </c>
      <c r="J38" s="27">
        <v>26.1</v>
      </c>
      <c r="K38" s="48">
        <f>13/7</f>
        <v>1.8571428571428572</v>
      </c>
      <c r="L38" s="49">
        <f>26/7</f>
        <v>3.7142857142857144</v>
      </c>
      <c r="M38" s="34">
        <v>50</v>
      </c>
      <c r="N38" s="50">
        <v>4.7</v>
      </c>
      <c r="O38" s="49">
        <v>1.6</v>
      </c>
      <c r="P38" s="51">
        <v>6.3</v>
      </c>
      <c r="Q38" s="84">
        <v>3.1</v>
      </c>
      <c r="R38" s="74">
        <v>0.6</v>
      </c>
      <c r="S38" s="48">
        <v>2</v>
      </c>
      <c r="T38" s="90">
        <v>0.9</v>
      </c>
      <c r="U38" s="54">
        <v>1.6</v>
      </c>
      <c r="V38" s="86" t="s">
        <v>27</v>
      </c>
      <c r="W38" s="47" t="s">
        <v>86</v>
      </c>
      <c r="X38" s="22">
        <v>15.6</v>
      </c>
      <c r="Y38" s="107" t="s">
        <v>42</v>
      </c>
    </row>
    <row r="39" spans="1:25" ht="18.75" customHeight="1">
      <c r="A39" s="17">
        <v>33</v>
      </c>
      <c r="B39" s="14" t="s">
        <v>87</v>
      </c>
      <c r="C39" s="40">
        <v>5</v>
      </c>
      <c r="D39" s="20">
        <v>12</v>
      </c>
      <c r="E39" s="41">
        <f>13/5</f>
        <v>2.6</v>
      </c>
      <c r="F39" s="42">
        <f>30/5</f>
        <v>6</v>
      </c>
      <c r="G39" s="36">
        <v>43.3</v>
      </c>
      <c r="H39" s="43">
        <f>6/5</f>
        <v>1.2</v>
      </c>
      <c r="I39" s="42">
        <f>15/5</f>
        <v>3</v>
      </c>
      <c r="J39" s="26">
        <v>40</v>
      </c>
      <c r="K39" s="41">
        <f>16/5</f>
        <v>3.2</v>
      </c>
      <c r="L39" s="42">
        <f>19/5</f>
        <v>3.8</v>
      </c>
      <c r="M39" s="36">
        <v>84.2</v>
      </c>
      <c r="N39" s="43">
        <v>5</v>
      </c>
      <c r="O39" s="44">
        <v>2.8</v>
      </c>
      <c r="P39" s="45">
        <v>7.8</v>
      </c>
      <c r="Q39" s="40">
        <v>1.4</v>
      </c>
      <c r="R39" s="72">
        <v>0.6</v>
      </c>
      <c r="S39" s="46">
        <v>1.6</v>
      </c>
      <c r="T39" s="88">
        <v>1</v>
      </c>
      <c r="U39" s="57">
        <v>2.4</v>
      </c>
      <c r="V39" s="85" t="s">
        <v>27</v>
      </c>
      <c r="W39" s="40" t="s">
        <v>88</v>
      </c>
      <c r="X39" s="23">
        <v>15.6</v>
      </c>
      <c r="Y39" s="108" t="s">
        <v>49</v>
      </c>
    </row>
    <row r="40" spans="1:25" ht="18.75" customHeight="1">
      <c r="A40" s="16">
        <v>34</v>
      </c>
      <c r="B40" s="9" t="s">
        <v>89</v>
      </c>
      <c r="C40" s="47">
        <v>23</v>
      </c>
      <c r="D40" s="21">
        <v>10.3</v>
      </c>
      <c r="E40" s="48">
        <f>39/23</f>
        <v>1.6956521739130435</v>
      </c>
      <c r="F40" s="49">
        <f>68/23</f>
        <v>2.9565217391304346</v>
      </c>
      <c r="G40" s="35">
        <v>57.4</v>
      </c>
      <c r="H40" s="50">
        <f>38/23</f>
        <v>1.6521739130434783</v>
      </c>
      <c r="I40" s="49">
        <f>108/23</f>
        <v>4.6956521739130439</v>
      </c>
      <c r="J40" s="27">
        <v>35.200000000000003</v>
      </c>
      <c r="K40" s="48">
        <f>44/23</f>
        <v>1.9130434782608696</v>
      </c>
      <c r="L40" s="49">
        <f>52/23</f>
        <v>2.2608695652173911</v>
      </c>
      <c r="M40" s="35">
        <v>84.6</v>
      </c>
      <c r="N40" s="54">
        <v>3.1</v>
      </c>
      <c r="O40" s="53">
        <v>0.7</v>
      </c>
      <c r="P40" s="51">
        <v>3.7</v>
      </c>
      <c r="Q40" s="47">
        <v>6.2</v>
      </c>
      <c r="R40" s="74">
        <v>0.1</v>
      </c>
      <c r="S40" s="48">
        <v>2</v>
      </c>
      <c r="T40" s="90">
        <v>1.9</v>
      </c>
      <c r="U40" s="54">
        <v>2.9</v>
      </c>
      <c r="V40" s="86" t="s">
        <v>27</v>
      </c>
      <c r="W40" s="47" t="s">
        <v>90</v>
      </c>
      <c r="X40" s="21">
        <v>15.4</v>
      </c>
      <c r="Y40" s="107" t="s">
        <v>45</v>
      </c>
    </row>
    <row r="41" spans="1:25" ht="18.75" customHeight="1">
      <c r="A41" s="17">
        <v>35</v>
      </c>
      <c r="B41" s="13" t="s">
        <v>91</v>
      </c>
      <c r="C41" s="40">
        <v>25</v>
      </c>
      <c r="D41" s="20">
        <v>18</v>
      </c>
      <c r="E41" s="41">
        <f>77/25</f>
        <v>3.08</v>
      </c>
      <c r="F41" s="42">
        <f>134/25</f>
        <v>5.36</v>
      </c>
      <c r="G41" s="33">
        <v>57.5</v>
      </c>
      <c r="H41" s="43">
        <f>80/25</f>
        <v>3.2</v>
      </c>
      <c r="I41" s="42">
        <f>184/25</f>
        <v>7.36</v>
      </c>
      <c r="J41" s="26">
        <v>43.5</v>
      </c>
      <c r="K41" s="41">
        <f>55/25</f>
        <v>2.2000000000000002</v>
      </c>
      <c r="L41" s="42">
        <f>69/25</f>
        <v>2.76</v>
      </c>
      <c r="M41" s="36">
        <v>79.7</v>
      </c>
      <c r="N41" s="57">
        <v>1.6</v>
      </c>
      <c r="O41" s="42">
        <v>0.5</v>
      </c>
      <c r="P41" s="45">
        <v>2</v>
      </c>
      <c r="Q41" s="40">
        <v>1.9</v>
      </c>
      <c r="R41" s="72">
        <v>0</v>
      </c>
      <c r="S41" s="41">
        <v>1</v>
      </c>
      <c r="T41" s="91">
        <v>0.6</v>
      </c>
      <c r="U41" s="57">
        <v>1.4</v>
      </c>
      <c r="V41" s="85" t="s">
        <v>27</v>
      </c>
      <c r="W41" s="40" t="s">
        <v>92</v>
      </c>
      <c r="X41" s="20">
        <v>15</v>
      </c>
      <c r="Y41" s="108" t="s">
        <v>36</v>
      </c>
    </row>
    <row r="42" spans="1:25" ht="18.75" customHeight="1">
      <c r="A42" s="16">
        <v>36</v>
      </c>
      <c r="B42" s="9" t="s">
        <v>93</v>
      </c>
      <c r="C42" s="47">
        <v>27</v>
      </c>
      <c r="D42" s="21">
        <v>17.600000000000001</v>
      </c>
      <c r="E42" s="48">
        <f>87/27</f>
        <v>3.2222222222222223</v>
      </c>
      <c r="F42" s="49">
        <f>148/27</f>
        <v>5.4814814814814818</v>
      </c>
      <c r="G42" s="35">
        <v>58.8</v>
      </c>
      <c r="H42" s="50">
        <f>76/27</f>
        <v>2.8148148148148149</v>
      </c>
      <c r="I42" s="49">
        <f>202/27</f>
        <v>7.4814814814814818</v>
      </c>
      <c r="J42" s="27">
        <v>37.6</v>
      </c>
      <c r="K42" s="48">
        <f>73/27</f>
        <v>2.7037037037037037</v>
      </c>
      <c r="L42" s="49">
        <f>92/27</f>
        <v>3.4074074074074074</v>
      </c>
      <c r="M42" s="34">
        <v>79.3</v>
      </c>
      <c r="N42" s="50">
        <v>2</v>
      </c>
      <c r="O42" s="49">
        <v>0.7</v>
      </c>
      <c r="P42" s="51">
        <v>2.7</v>
      </c>
      <c r="Q42" s="81">
        <v>1.9</v>
      </c>
      <c r="R42" s="74">
        <v>0</v>
      </c>
      <c r="S42" s="48">
        <v>2</v>
      </c>
      <c r="T42" s="90">
        <v>1.4</v>
      </c>
      <c r="U42" s="50">
        <v>1.4</v>
      </c>
      <c r="V42" s="86" t="s">
        <v>27</v>
      </c>
      <c r="W42" s="47" t="s">
        <v>94</v>
      </c>
      <c r="X42" s="21">
        <v>14.8</v>
      </c>
      <c r="Y42" s="107" t="s">
        <v>36</v>
      </c>
    </row>
    <row r="43" spans="1:25" ht="18.75" customHeight="1">
      <c r="A43" s="17">
        <v>37</v>
      </c>
      <c r="B43" s="14" t="s">
        <v>95</v>
      </c>
      <c r="C43" s="40">
        <v>4</v>
      </c>
      <c r="D43" s="20">
        <v>12</v>
      </c>
      <c r="E43" s="41">
        <f>13/4</f>
        <v>3.25</v>
      </c>
      <c r="F43" s="42">
        <f>26/4</f>
        <v>6.5</v>
      </c>
      <c r="G43" s="33">
        <v>50</v>
      </c>
      <c r="H43" s="43">
        <f>6/4</f>
        <v>1.5</v>
      </c>
      <c r="I43" s="42">
        <f>20/4</f>
        <v>5</v>
      </c>
      <c r="J43" s="26">
        <v>30</v>
      </c>
      <c r="K43" s="41">
        <v>1</v>
      </c>
      <c r="L43" s="42">
        <f>5/4</f>
        <v>1.25</v>
      </c>
      <c r="M43" s="33">
        <v>80</v>
      </c>
      <c r="N43" s="43">
        <v>2.2999999999999998</v>
      </c>
      <c r="O43" s="42">
        <v>0.5</v>
      </c>
      <c r="P43" s="45">
        <v>2.8</v>
      </c>
      <c r="Q43" s="82">
        <v>6.5</v>
      </c>
      <c r="R43" s="79">
        <v>0</v>
      </c>
      <c r="S43" s="41">
        <v>2</v>
      </c>
      <c r="T43" s="88">
        <v>2</v>
      </c>
      <c r="U43" s="43">
        <v>2.5</v>
      </c>
      <c r="V43" s="85" t="s">
        <v>27</v>
      </c>
      <c r="W43" s="40" t="s">
        <v>96</v>
      </c>
      <c r="X43" s="23">
        <v>14.8</v>
      </c>
      <c r="Y43" s="108" t="s">
        <v>45</v>
      </c>
    </row>
    <row r="44" spans="1:25" ht="18.75" customHeight="1">
      <c r="A44" s="16">
        <v>38</v>
      </c>
      <c r="B44" s="10" t="s">
        <v>97</v>
      </c>
      <c r="C44" s="47">
        <v>12</v>
      </c>
      <c r="D44" s="21">
        <v>9.5</v>
      </c>
      <c r="E44" s="48">
        <f>45/12</f>
        <v>3.75</v>
      </c>
      <c r="F44" s="49">
        <f>80/12</f>
        <v>6.666666666666667</v>
      </c>
      <c r="G44" s="35">
        <v>56.3</v>
      </c>
      <c r="H44" s="50">
        <f>2/12</f>
        <v>0.16666666666666666</v>
      </c>
      <c r="I44" s="49">
        <f>6/12</f>
        <v>0.5</v>
      </c>
      <c r="J44" s="27">
        <v>33.299999999999997</v>
      </c>
      <c r="K44" s="48">
        <f>18/12</f>
        <v>1.5</v>
      </c>
      <c r="L44" s="49">
        <f>32/12</f>
        <v>2.6666666666666665</v>
      </c>
      <c r="M44" s="34">
        <v>56.3</v>
      </c>
      <c r="N44" s="54">
        <v>6.1</v>
      </c>
      <c r="O44" s="53">
        <v>2.8</v>
      </c>
      <c r="P44" s="51">
        <v>8.8000000000000007</v>
      </c>
      <c r="Q44" s="81">
        <v>0.3</v>
      </c>
      <c r="R44" s="74">
        <v>1.4</v>
      </c>
      <c r="S44" s="55">
        <v>1.7</v>
      </c>
      <c r="T44" s="90">
        <v>0.5</v>
      </c>
      <c r="U44" s="54">
        <v>1.5</v>
      </c>
      <c r="V44" s="86" t="s">
        <v>27</v>
      </c>
      <c r="W44" s="47" t="s">
        <v>98</v>
      </c>
      <c r="X44" s="21">
        <v>14.7</v>
      </c>
      <c r="Y44" s="107" t="s">
        <v>49</v>
      </c>
    </row>
    <row r="45" spans="1:25" ht="18.75" customHeight="1">
      <c r="A45" s="17">
        <v>39</v>
      </c>
      <c r="B45" s="13" t="s">
        <v>99</v>
      </c>
      <c r="C45" s="40">
        <v>17</v>
      </c>
      <c r="D45" s="20">
        <v>11</v>
      </c>
      <c r="E45" s="41">
        <f>57/17</f>
        <v>3.3529411764705883</v>
      </c>
      <c r="F45" s="42">
        <f>83/17</f>
        <v>4.882352941176471</v>
      </c>
      <c r="G45" s="36">
        <v>68.7</v>
      </c>
      <c r="H45" s="43">
        <f>9/17</f>
        <v>0.52941176470588236</v>
      </c>
      <c r="I45" s="42">
        <f>27/17</f>
        <v>1.588235294117647</v>
      </c>
      <c r="J45" s="26">
        <v>33.299999999999997</v>
      </c>
      <c r="K45" s="41">
        <f>46/17</f>
        <v>2.7058823529411766</v>
      </c>
      <c r="L45" s="42">
        <f>61/17</f>
        <v>3.5882352941176472</v>
      </c>
      <c r="M45" s="33">
        <v>75.400000000000006</v>
      </c>
      <c r="N45" s="57">
        <v>2.6</v>
      </c>
      <c r="O45" s="44">
        <v>0.2</v>
      </c>
      <c r="P45" s="45">
        <v>2.8</v>
      </c>
      <c r="Q45" s="40">
        <v>5.0999999999999996</v>
      </c>
      <c r="R45" s="72">
        <v>0.1</v>
      </c>
      <c r="S45" s="46">
        <v>3.1</v>
      </c>
      <c r="T45" s="88">
        <v>1</v>
      </c>
      <c r="U45" s="43">
        <v>2</v>
      </c>
      <c r="V45" s="85" t="s">
        <v>27</v>
      </c>
      <c r="W45" s="40" t="s">
        <v>96</v>
      </c>
      <c r="X45" s="23">
        <v>14.5</v>
      </c>
      <c r="Y45" s="108" t="s">
        <v>36</v>
      </c>
    </row>
    <row r="46" spans="1:25" ht="18.75" customHeight="1">
      <c r="A46" s="16">
        <v>40</v>
      </c>
      <c r="B46" s="9" t="s">
        <v>100</v>
      </c>
      <c r="C46" s="47">
        <v>33</v>
      </c>
      <c r="D46" s="21">
        <v>12.7</v>
      </c>
      <c r="E46" s="48">
        <f>100/33</f>
        <v>3.0303030303030303</v>
      </c>
      <c r="F46" s="49">
        <f>176/33</f>
        <v>5.333333333333333</v>
      </c>
      <c r="G46" s="35">
        <v>56.8</v>
      </c>
      <c r="H46" s="50">
        <f>49/33</f>
        <v>1.4848484848484849</v>
      </c>
      <c r="I46" s="49">
        <f>134/33</f>
        <v>4.0606060606060606</v>
      </c>
      <c r="J46" s="27">
        <v>36.6</v>
      </c>
      <c r="K46" s="48">
        <f>73/33</f>
        <v>2.2121212121212119</v>
      </c>
      <c r="L46" s="49">
        <f>86/33</f>
        <v>2.606060606060606</v>
      </c>
      <c r="M46" s="34">
        <v>84.9</v>
      </c>
      <c r="N46" s="54">
        <v>3.1</v>
      </c>
      <c r="O46" s="53">
        <v>0.8</v>
      </c>
      <c r="P46" s="51">
        <v>3.8</v>
      </c>
      <c r="Q46" s="47">
        <v>2.8</v>
      </c>
      <c r="R46" s="74">
        <v>0</v>
      </c>
      <c r="S46" s="55">
        <v>1.9</v>
      </c>
      <c r="T46" s="90">
        <v>1.1000000000000001</v>
      </c>
      <c r="U46" s="54">
        <v>1.7</v>
      </c>
      <c r="V46" s="86" t="s">
        <v>27</v>
      </c>
      <c r="W46" s="47" t="s">
        <v>101</v>
      </c>
      <c r="X46" s="21">
        <v>14.4</v>
      </c>
      <c r="Y46" s="107" t="s">
        <v>36</v>
      </c>
    </row>
    <row r="47" spans="1:25" ht="18.75" customHeight="1">
      <c r="A47" s="17">
        <v>41</v>
      </c>
      <c r="B47" s="13" t="s">
        <v>102</v>
      </c>
      <c r="C47" s="40">
        <v>16</v>
      </c>
      <c r="D47" s="20">
        <v>16.8</v>
      </c>
      <c r="E47" s="41">
        <f>17/16</f>
        <v>1.0625</v>
      </c>
      <c r="F47" s="42">
        <f>39/16</f>
        <v>2.4375</v>
      </c>
      <c r="G47" s="36">
        <v>43.6</v>
      </c>
      <c r="H47" s="43">
        <f>61/16</f>
        <v>3.8125</v>
      </c>
      <c r="I47" s="42">
        <f>139/16</f>
        <v>8.6875</v>
      </c>
      <c r="J47" s="26">
        <v>36.1</v>
      </c>
      <c r="K47" s="41">
        <f>51/16</f>
        <v>3.1875</v>
      </c>
      <c r="L47" s="42">
        <f>62/16</f>
        <v>3.875</v>
      </c>
      <c r="M47" s="33">
        <v>82.3</v>
      </c>
      <c r="N47" s="43">
        <v>2.9</v>
      </c>
      <c r="O47" s="44">
        <v>0.8</v>
      </c>
      <c r="P47" s="45">
        <v>3.8</v>
      </c>
      <c r="Q47" s="40">
        <v>2.1</v>
      </c>
      <c r="R47" s="77">
        <v>0.1</v>
      </c>
      <c r="S47" s="46">
        <v>1.6</v>
      </c>
      <c r="T47" s="88">
        <v>1.1000000000000001</v>
      </c>
      <c r="U47" s="57">
        <v>1.4</v>
      </c>
      <c r="V47" s="85" t="s">
        <v>27</v>
      </c>
      <c r="W47" s="40" t="s">
        <v>60</v>
      </c>
      <c r="X47" s="20">
        <v>14.3</v>
      </c>
      <c r="Y47" s="108" t="s">
        <v>42</v>
      </c>
    </row>
    <row r="48" spans="1:25" ht="18.75" customHeight="1">
      <c r="A48" s="16">
        <v>42</v>
      </c>
      <c r="B48" s="10" t="s">
        <v>103</v>
      </c>
      <c r="C48" s="47">
        <v>11</v>
      </c>
      <c r="D48" s="22">
        <v>13</v>
      </c>
      <c r="E48" s="48">
        <f>39/11</f>
        <v>3.5454545454545454</v>
      </c>
      <c r="F48" s="49">
        <f>64/11</f>
        <v>5.8181818181818183</v>
      </c>
      <c r="G48" s="35">
        <v>60.9</v>
      </c>
      <c r="H48" s="50">
        <f>11/11</f>
        <v>1</v>
      </c>
      <c r="I48" s="49">
        <f>35/11</f>
        <v>3.1818181818181817</v>
      </c>
      <c r="J48" s="27">
        <v>31.4</v>
      </c>
      <c r="K48" s="48">
        <f>32/11</f>
        <v>2.9090909090909092</v>
      </c>
      <c r="L48" s="49">
        <f>36/11</f>
        <v>3.2727272727272729</v>
      </c>
      <c r="M48" s="34">
        <v>88.9</v>
      </c>
      <c r="N48" s="54">
        <v>5.3</v>
      </c>
      <c r="O48" s="53">
        <v>0.3</v>
      </c>
      <c r="P48" s="51">
        <v>5.5</v>
      </c>
      <c r="Q48" s="81">
        <v>1</v>
      </c>
      <c r="R48" s="74">
        <v>0.2</v>
      </c>
      <c r="S48" s="55">
        <v>2.2999999999999998</v>
      </c>
      <c r="T48" s="90">
        <v>0.8</v>
      </c>
      <c r="U48" s="54">
        <v>2.2000000000000002</v>
      </c>
      <c r="V48" s="86" t="s">
        <v>27</v>
      </c>
      <c r="W48" s="47" t="s">
        <v>86</v>
      </c>
      <c r="X48" s="21">
        <v>14.3</v>
      </c>
      <c r="Y48" s="107" t="s">
        <v>29</v>
      </c>
    </row>
    <row r="49" spans="1:25" ht="18.75" customHeight="1">
      <c r="A49" s="17">
        <v>43</v>
      </c>
      <c r="B49" s="14" t="s">
        <v>104</v>
      </c>
      <c r="C49" s="40">
        <v>20</v>
      </c>
      <c r="D49" s="20">
        <v>12.8</v>
      </c>
      <c r="E49" s="41">
        <f>78/20</f>
        <v>3.9</v>
      </c>
      <c r="F49" s="42">
        <f>139/20</f>
        <v>6.95</v>
      </c>
      <c r="G49" s="33">
        <v>56.1</v>
      </c>
      <c r="H49" s="43">
        <f>9/20</f>
        <v>0.45</v>
      </c>
      <c r="I49" s="42">
        <f>36/20</f>
        <v>1.8</v>
      </c>
      <c r="J49" s="26">
        <v>25</v>
      </c>
      <c r="K49" s="62">
        <f>73/20</f>
        <v>3.65</v>
      </c>
      <c r="L49" s="42">
        <f>101/20</f>
        <v>5.05</v>
      </c>
      <c r="M49" s="39">
        <v>72.3</v>
      </c>
      <c r="N49" s="57">
        <v>3.1</v>
      </c>
      <c r="O49" s="42">
        <v>2.6</v>
      </c>
      <c r="P49" s="45">
        <v>5.7</v>
      </c>
      <c r="Q49" s="82">
        <v>1.9</v>
      </c>
      <c r="R49" s="72">
        <v>0.1</v>
      </c>
      <c r="S49" s="46">
        <v>2.2000000000000002</v>
      </c>
      <c r="T49" s="91">
        <v>1.3</v>
      </c>
      <c r="U49" s="43">
        <v>3.2</v>
      </c>
      <c r="V49" s="85" t="s">
        <v>27</v>
      </c>
      <c r="W49" s="40" t="s">
        <v>88</v>
      </c>
      <c r="X49" s="23">
        <v>14.3</v>
      </c>
      <c r="Y49" s="108" t="s">
        <v>42</v>
      </c>
    </row>
    <row r="50" spans="1:25" ht="18.75" customHeight="1">
      <c r="A50" s="16">
        <v>44</v>
      </c>
      <c r="B50" s="9" t="s">
        <v>105</v>
      </c>
      <c r="C50" s="47">
        <v>20</v>
      </c>
      <c r="D50" s="22">
        <v>10.7</v>
      </c>
      <c r="E50" s="48">
        <f>80/20</f>
        <v>4</v>
      </c>
      <c r="F50" s="49">
        <f>132/20</f>
        <v>6.6</v>
      </c>
      <c r="G50" s="35">
        <v>60.6</v>
      </c>
      <c r="H50" s="50">
        <f>12/20</f>
        <v>0.6</v>
      </c>
      <c r="I50" s="49">
        <f>68/20</f>
        <v>3.4</v>
      </c>
      <c r="J50" s="27">
        <v>17.600000000000001</v>
      </c>
      <c r="K50" s="48">
        <f>18/20</f>
        <v>0.9</v>
      </c>
      <c r="L50" s="49">
        <f>38/20</f>
        <v>1.9</v>
      </c>
      <c r="M50" s="34">
        <v>47.4</v>
      </c>
      <c r="N50" s="54">
        <v>4.5999999999999996</v>
      </c>
      <c r="O50" s="53">
        <v>2.7</v>
      </c>
      <c r="P50" s="51">
        <v>7.2</v>
      </c>
      <c r="Q50" s="47">
        <v>2.6</v>
      </c>
      <c r="R50" s="74">
        <v>0.7</v>
      </c>
      <c r="S50" s="55">
        <v>1.5</v>
      </c>
      <c r="T50" s="90">
        <v>1.6</v>
      </c>
      <c r="U50" s="54">
        <v>2.2999999999999998</v>
      </c>
      <c r="V50" s="86" t="s">
        <v>27</v>
      </c>
      <c r="W50" s="47" t="s">
        <v>106</v>
      </c>
      <c r="X50" s="22">
        <v>14.3</v>
      </c>
      <c r="Y50" s="107" t="s">
        <v>36</v>
      </c>
    </row>
    <row r="51" spans="1:25" ht="18.75" customHeight="1">
      <c r="A51" s="17">
        <v>45</v>
      </c>
      <c r="B51" s="14" t="s">
        <v>107</v>
      </c>
      <c r="C51" s="40">
        <v>6</v>
      </c>
      <c r="D51" s="23">
        <v>15.3</v>
      </c>
      <c r="E51" s="41">
        <f>24/6</f>
        <v>4</v>
      </c>
      <c r="F51" s="42">
        <f>53/6</f>
        <v>8.8333333333333339</v>
      </c>
      <c r="G51" s="37">
        <v>45.3</v>
      </c>
      <c r="H51" s="43">
        <f>9/6</f>
        <v>1.5</v>
      </c>
      <c r="I51" s="42">
        <f>23/6</f>
        <v>3.8333333333333335</v>
      </c>
      <c r="J51" s="26">
        <v>39.1</v>
      </c>
      <c r="K51" s="41">
        <f>17/6</f>
        <v>2.8333333333333335</v>
      </c>
      <c r="L51" s="42">
        <f>23/6</f>
        <v>3.8333333333333335</v>
      </c>
      <c r="M51" s="33">
        <v>73.900000000000006</v>
      </c>
      <c r="N51" s="57">
        <v>5.7</v>
      </c>
      <c r="O51" s="44">
        <v>1.3</v>
      </c>
      <c r="P51" s="45">
        <v>7</v>
      </c>
      <c r="Q51" s="40">
        <v>1.2</v>
      </c>
      <c r="R51" s="72">
        <v>0.5</v>
      </c>
      <c r="S51" s="41">
        <v>3</v>
      </c>
      <c r="T51" s="91">
        <v>0.8</v>
      </c>
      <c r="U51" s="57">
        <v>3.2</v>
      </c>
      <c r="V51" s="85" t="s">
        <v>27</v>
      </c>
      <c r="W51" s="40" t="s">
        <v>108</v>
      </c>
      <c r="X51" s="20">
        <v>14</v>
      </c>
      <c r="Y51" s="108" t="s">
        <v>36</v>
      </c>
    </row>
    <row r="52" spans="1:25" ht="18.75" customHeight="1">
      <c r="A52" s="16">
        <v>46</v>
      </c>
      <c r="B52" s="10" t="s">
        <v>109</v>
      </c>
      <c r="C52" s="47">
        <v>13</v>
      </c>
      <c r="D52" s="22">
        <v>14.1</v>
      </c>
      <c r="E52" s="48">
        <f>25/13</f>
        <v>1.9230769230769231</v>
      </c>
      <c r="F52" s="49">
        <f>48/13</f>
        <v>3.6923076923076925</v>
      </c>
      <c r="G52" s="35">
        <v>52.1</v>
      </c>
      <c r="H52" s="50">
        <f>35/13</f>
        <v>2.6923076923076925</v>
      </c>
      <c r="I52" s="49">
        <f>89/13</f>
        <v>6.8461538461538458</v>
      </c>
      <c r="J52" s="27">
        <v>39.299999999999997</v>
      </c>
      <c r="K52" s="48">
        <f>28/13</f>
        <v>2.1538461538461537</v>
      </c>
      <c r="L52" s="49">
        <f>44/13</f>
        <v>3.3846153846153846</v>
      </c>
      <c r="M52" s="34">
        <v>63.6</v>
      </c>
      <c r="N52" s="50">
        <v>3</v>
      </c>
      <c r="O52" s="53">
        <v>0.8</v>
      </c>
      <c r="P52" s="51">
        <v>3.8</v>
      </c>
      <c r="Q52" s="47">
        <v>2.1</v>
      </c>
      <c r="R52" s="76">
        <v>0.1</v>
      </c>
      <c r="S52" s="55">
        <v>1.6</v>
      </c>
      <c r="T52" s="90">
        <v>1.2</v>
      </c>
      <c r="U52" s="54">
        <v>2.1</v>
      </c>
      <c r="V52" s="86" t="s">
        <v>27</v>
      </c>
      <c r="W52" s="47" t="s">
        <v>75</v>
      </c>
      <c r="X52" s="22">
        <v>13.9</v>
      </c>
      <c r="Y52" s="107" t="s">
        <v>36</v>
      </c>
    </row>
    <row r="53" spans="1:25" ht="18.75" customHeight="1">
      <c r="A53" s="17">
        <v>47</v>
      </c>
      <c r="B53" s="13" t="s">
        <v>110</v>
      </c>
      <c r="C53" s="40">
        <v>17</v>
      </c>
      <c r="D53" s="23">
        <v>14.1</v>
      </c>
      <c r="E53" s="41">
        <f>63/17</f>
        <v>3.7058823529411766</v>
      </c>
      <c r="F53" s="42">
        <f>120/17</f>
        <v>7.0588235294117645</v>
      </c>
      <c r="G53" s="36">
        <v>52.5</v>
      </c>
      <c r="H53" s="43">
        <f>25/17</f>
        <v>1.4705882352941178</v>
      </c>
      <c r="I53" s="42">
        <f>50/17</f>
        <v>2.9411764705882355</v>
      </c>
      <c r="J53" s="26">
        <v>50</v>
      </c>
      <c r="K53" s="41">
        <f>38/17</f>
        <v>2.2352941176470589</v>
      </c>
      <c r="L53" s="42">
        <f>43/17</f>
        <v>2.5294117647058822</v>
      </c>
      <c r="M53" s="36">
        <v>88.4</v>
      </c>
      <c r="N53" s="57">
        <v>2.5</v>
      </c>
      <c r="O53" s="44">
        <v>0.9</v>
      </c>
      <c r="P53" s="45">
        <v>3.4</v>
      </c>
      <c r="Q53" s="40">
        <v>1.2</v>
      </c>
      <c r="R53" s="72">
        <v>0.3</v>
      </c>
      <c r="S53" s="46">
        <v>1.2</v>
      </c>
      <c r="T53" s="88">
        <v>0.6</v>
      </c>
      <c r="U53" s="57">
        <v>1.2</v>
      </c>
      <c r="V53" s="85" t="s">
        <v>27</v>
      </c>
      <c r="W53" s="40" t="s">
        <v>111</v>
      </c>
      <c r="X53" s="23">
        <v>13.7</v>
      </c>
      <c r="Y53" s="108" t="s">
        <v>42</v>
      </c>
    </row>
    <row r="54" spans="1:25" ht="18.75" customHeight="1">
      <c r="A54" s="16">
        <v>48</v>
      </c>
      <c r="B54" s="9" t="s">
        <v>112</v>
      </c>
      <c r="C54" s="47">
        <v>33</v>
      </c>
      <c r="D54" s="21">
        <v>11.7</v>
      </c>
      <c r="E54" s="48">
        <f>92/33</f>
        <v>2.7878787878787881</v>
      </c>
      <c r="F54" s="49">
        <f>192/33</f>
        <v>5.8181818181818183</v>
      </c>
      <c r="G54" s="35">
        <v>47.9</v>
      </c>
      <c r="H54" s="50">
        <f>32/33</f>
        <v>0.96969696969696972</v>
      </c>
      <c r="I54" s="49">
        <f>123/33</f>
        <v>3.7272727272727271</v>
      </c>
      <c r="J54" s="27">
        <v>26</v>
      </c>
      <c r="K54" s="48">
        <f>106/33</f>
        <v>3.2121212121212119</v>
      </c>
      <c r="L54" s="49">
        <f>148/33</f>
        <v>4.4848484848484844</v>
      </c>
      <c r="M54" s="35">
        <v>71.599999999999994</v>
      </c>
      <c r="N54" s="54">
        <v>3.1</v>
      </c>
      <c r="O54" s="53">
        <v>0.9</v>
      </c>
      <c r="P54" s="63">
        <v>3.9</v>
      </c>
      <c r="Q54" s="47">
        <v>5.2</v>
      </c>
      <c r="R54" s="74">
        <v>0.2</v>
      </c>
      <c r="S54" s="48">
        <v>3</v>
      </c>
      <c r="T54" s="90">
        <v>1.8</v>
      </c>
      <c r="U54" s="54">
        <v>2.5</v>
      </c>
      <c r="V54" s="86" t="s">
        <v>27</v>
      </c>
      <c r="W54" s="95" t="s">
        <v>113</v>
      </c>
      <c r="X54" s="21">
        <v>13.7</v>
      </c>
      <c r="Y54" s="107" t="s">
        <v>45</v>
      </c>
    </row>
    <row r="55" spans="1:25" ht="18.75" customHeight="1">
      <c r="A55" s="17">
        <v>49</v>
      </c>
      <c r="B55" s="13" t="s">
        <v>114</v>
      </c>
      <c r="C55" s="40">
        <v>28</v>
      </c>
      <c r="D55" s="23">
        <v>15.4</v>
      </c>
      <c r="E55" s="41">
        <f>97/28</f>
        <v>3.4642857142857144</v>
      </c>
      <c r="F55" s="42">
        <f>191/28</f>
        <v>6.8214285714285712</v>
      </c>
      <c r="G55" s="36">
        <v>50.8</v>
      </c>
      <c r="H55" s="43">
        <f>50/28</f>
        <v>1.7857142857142858</v>
      </c>
      <c r="I55" s="42">
        <f>141/28</f>
        <v>5.0357142857142856</v>
      </c>
      <c r="J55" s="26">
        <v>35.5</v>
      </c>
      <c r="K55" s="41">
        <f>87/28</f>
        <v>3.1071428571428572</v>
      </c>
      <c r="L55" s="42">
        <f>108/28</f>
        <v>3.8571428571428572</v>
      </c>
      <c r="M55" s="36">
        <v>80.599999999999994</v>
      </c>
      <c r="N55" s="57">
        <v>2.7</v>
      </c>
      <c r="O55" s="44">
        <v>1.1000000000000001</v>
      </c>
      <c r="P55" s="45">
        <v>3.8</v>
      </c>
      <c r="Q55" s="40">
        <v>1.4</v>
      </c>
      <c r="R55" s="72">
        <v>0</v>
      </c>
      <c r="S55" s="46">
        <v>1.3</v>
      </c>
      <c r="T55" s="91">
        <v>0.6</v>
      </c>
      <c r="U55" s="57">
        <v>2.2999999999999998</v>
      </c>
      <c r="V55" s="85" t="s">
        <v>27</v>
      </c>
      <c r="W55" s="40" t="s">
        <v>115</v>
      </c>
      <c r="X55" s="23">
        <v>13.5</v>
      </c>
      <c r="Y55" s="108" t="s">
        <v>42</v>
      </c>
    </row>
    <row r="56" spans="1:25" ht="18.75" customHeight="1">
      <c r="A56" s="16">
        <v>50</v>
      </c>
      <c r="B56" s="9" t="s">
        <v>116</v>
      </c>
      <c r="C56" s="47">
        <v>2</v>
      </c>
      <c r="D56" s="21">
        <v>10.5</v>
      </c>
      <c r="E56" s="48">
        <v>4</v>
      </c>
      <c r="F56" s="49">
        <v>9</v>
      </c>
      <c r="G56" s="35">
        <v>44.4</v>
      </c>
      <c r="H56" s="54">
        <v>0</v>
      </c>
      <c r="I56" s="49">
        <v>0</v>
      </c>
      <c r="J56" s="28">
        <v>0</v>
      </c>
      <c r="K56" s="48">
        <v>2.5</v>
      </c>
      <c r="L56" s="49">
        <v>6.5</v>
      </c>
      <c r="M56" s="35">
        <v>38.5</v>
      </c>
      <c r="N56" s="54">
        <v>5.5</v>
      </c>
      <c r="O56" s="49">
        <v>3</v>
      </c>
      <c r="P56" s="51">
        <v>8.5</v>
      </c>
      <c r="Q56" s="47">
        <v>1.5</v>
      </c>
      <c r="R56" s="74">
        <v>0.5</v>
      </c>
      <c r="S56" s="55">
        <v>0.5</v>
      </c>
      <c r="T56" s="90">
        <v>0</v>
      </c>
      <c r="U56" s="50">
        <v>1</v>
      </c>
      <c r="V56" s="86" t="s">
        <v>27</v>
      </c>
      <c r="W56" s="47" t="s">
        <v>117</v>
      </c>
      <c r="X56" s="21">
        <v>13.5</v>
      </c>
      <c r="Y56" s="107" t="s">
        <v>49</v>
      </c>
    </row>
    <row r="57" spans="1:25" ht="18.75" customHeight="1">
      <c r="A57" s="17">
        <v>51</v>
      </c>
      <c r="B57" s="14" t="s">
        <v>118</v>
      </c>
      <c r="C57" s="40">
        <v>5</v>
      </c>
      <c r="D57" s="20">
        <v>13</v>
      </c>
      <c r="E57" s="41">
        <f>15/5</f>
        <v>3</v>
      </c>
      <c r="F57" s="42">
        <f>21/5</f>
        <v>4.2</v>
      </c>
      <c r="G57" s="36">
        <v>71.400000000000006</v>
      </c>
      <c r="H57" s="43">
        <f>8/5</f>
        <v>1.6</v>
      </c>
      <c r="I57" s="42">
        <f>35/5</f>
        <v>7</v>
      </c>
      <c r="J57" s="31">
        <v>22.9</v>
      </c>
      <c r="K57" s="41">
        <f>11/5</f>
        <v>2.2000000000000002</v>
      </c>
      <c r="L57" s="42">
        <f>12/5</f>
        <v>2.4</v>
      </c>
      <c r="M57" s="36">
        <v>91.7</v>
      </c>
      <c r="N57" s="57">
        <v>2.6</v>
      </c>
      <c r="O57" s="44">
        <v>0.4</v>
      </c>
      <c r="P57" s="45">
        <v>3</v>
      </c>
      <c r="Q57" s="82">
        <v>3</v>
      </c>
      <c r="R57" s="72">
        <v>0</v>
      </c>
      <c r="S57" s="46">
        <v>2.8</v>
      </c>
      <c r="T57" s="88">
        <v>2</v>
      </c>
      <c r="U57" s="57">
        <v>1.8</v>
      </c>
      <c r="V57" s="85" t="s">
        <v>27</v>
      </c>
      <c r="W57" s="93" t="s">
        <v>79</v>
      </c>
      <c r="X57" s="20">
        <v>13</v>
      </c>
      <c r="Y57" s="108" t="s">
        <v>45</v>
      </c>
    </row>
    <row r="58" spans="1:25" ht="18.75" customHeight="1">
      <c r="A58" s="16">
        <v>52</v>
      </c>
      <c r="B58" s="10" t="s">
        <v>119</v>
      </c>
      <c r="C58" s="47">
        <v>11</v>
      </c>
      <c r="D58" s="22">
        <v>12.2</v>
      </c>
      <c r="E58" s="48">
        <f>22/11</f>
        <v>2</v>
      </c>
      <c r="F58" s="49">
        <f>55/11</f>
        <v>5</v>
      </c>
      <c r="G58" s="34">
        <v>40</v>
      </c>
      <c r="H58" s="50">
        <f>25/11</f>
        <v>2.2727272727272729</v>
      </c>
      <c r="I58" s="49">
        <f>61/11</f>
        <v>5.5454545454545459</v>
      </c>
      <c r="J58" s="27">
        <v>41</v>
      </c>
      <c r="K58" s="48">
        <f>15/11</f>
        <v>1.3636363636363635</v>
      </c>
      <c r="L58" s="49">
        <f>22/11</f>
        <v>2</v>
      </c>
      <c r="M58" s="35">
        <v>68.2</v>
      </c>
      <c r="N58" s="50">
        <v>3.2</v>
      </c>
      <c r="O58" s="53">
        <v>0.5</v>
      </c>
      <c r="P58" s="51">
        <v>3.6</v>
      </c>
      <c r="Q58" s="47">
        <v>5.0999999999999996</v>
      </c>
      <c r="R58" s="74">
        <v>0</v>
      </c>
      <c r="S58" s="48">
        <v>2</v>
      </c>
      <c r="T58" s="90">
        <v>0.7</v>
      </c>
      <c r="U58" s="54">
        <v>1.6</v>
      </c>
      <c r="V58" s="86" t="s">
        <v>27</v>
      </c>
      <c r="W58" s="47" t="s">
        <v>120</v>
      </c>
      <c r="X58" s="22">
        <v>13</v>
      </c>
      <c r="Y58" s="107" t="s">
        <v>45</v>
      </c>
    </row>
    <row r="59" spans="1:25" ht="18.75" customHeight="1">
      <c r="A59" s="17">
        <v>53</v>
      </c>
      <c r="B59" s="14" t="s">
        <v>121</v>
      </c>
      <c r="C59" s="40">
        <v>4</v>
      </c>
      <c r="D59" s="23">
        <v>13.3</v>
      </c>
      <c r="E59" s="41">
        <f>13/4</f>
        <v>3.25</v>
      </c>
      <c r="F59" s="42">
        <f>21/4</f>
        <v>5.25</v>
      </c>
      <c r="G59" s="36">
        <v>61.9</v>
      </c>
      <c r="H59" s="43">
        <f>6/4</f>
        <v>1.5</v>
      </c>
      <c r="I59" s="42">
        <f>16/4</f>
        <v>4</v>
      </c>
      <c r="J59" s="31">
        <v>37.5</v>
      </c>
      <c r="K59" s="41">
        <f>9/4</f>
        <v>2.25</v>
      </c>
      <c r="L59" s="42">
        <f>10/4</f>
        <v>2.5</v>
      </c>
      <c r="M59" s="33">
        <v>90</v>
      </c>
      <c r="N59" s="43">
        <v>3</v>
      </c>
      <c r="O59" s="44">
        <v>1.3</v>
      </c>
      <c r="P59" s="61">
        <v>4.3</v>
      </c>
      <c r="Q59" s="40">
        <v>0.8</v>
      </c>
      <c r="R59" s="72">
        <v>0.8</v>
      </c>
      <c r="S59" s="41">
        <v>2</v>
      </c>
      <c r="T59" s="91">
        <v>0</v>
      </c>
      <c r="U59" s="57">
        <v>2.8</v>
      </c>
      <c r="V59" s="85" t="s">
        <v>27</v>
      </c>
      <c r="W59" s="93" t="s">
        <v>122</v>
      </c>
      <c r="X59" s="23">
        <v>12.3</v>
      </c>
      <c r="Y59" s="108" t="s">
        <v>29</v>
      </c>
    </row>
    <row r="60" spans="1:25" ht="18.75" customHeight="1">
      <c r="A60" s="16">
        <v>54</v>
      </c>
      <c r="B60" s="10" t="s">
        <v>123</v>
      </c>
      <c r="C60" s="47">
        <v>11</v>
      </c>
      <c r="D60" s="21">
        <v>12.9</v>
      </c>
      <c r="E60" s="48">
        <f>36/11</f>
        <v>3.2727272727272729</v>
      </c>
      <c r="F60" s="49">
        <f>73/11</f>
        <v>6.6363636363636367</v>
      </c>
      <c r="G60" s="35">
        <v>49.3</v>
      </c>
      <c r="H60" s="50">
        <f>15/11</f>
        <v>1.3636363636363635</v>
      </c>
      <c r="I60" s="49">
        <f>44/11</f>
        <v>4</v>
      </c>
      <c r="J60" s="27">
        <v>34.1</v>
      </c>
      <c r="K60" s="48">
        <f>25/11</f>
        <v>2.2727272727272729</v>
      </c>
      <c r="L60" s="49">
        <f>42/11</f>
        <v>3.8181818181818183</v>
      </c>
      <c r="M60" s="34">
        <v>59.5</v>
      </c>
      <c r="N60" s="54">
        <v>4.7</v>
      </c>
      <c r="O60" s="49">
        <v>1.3</v>
      </c>
      <c r="P60" s="51">
        <v>6</v>
      </c>
      <c r="Q60" s="81">
        <v>0.6</v>
      </c>
      <c r="R60" s="74">
        <v>0.2</v>
      </c>
      <c r="S60" s="55">
        <v>2.1</v>
      </c>
      <c r="T60" s="89">
        <v>0.9</v>
      </c>
      <c r="U60" s="54">
        <v>1.6</v>
      </c>
      <c r="V60" s="86" t="s">
        <v>27</v>
      </c>
      <c r="W60" s="47" t="s">
        <v>96</v>
      </c>
      <c r="X60" s="22">
        <v>12.5</v>
      </c>
      <c r="Y60" s="107" t="s">
        <v>29</v>
      </c>
    </row>
    <row r="61" spans="1:25" ht="18.75" customHeight="1">
      <c r="A61" s="17">
        <v>55</v>
      </c>
      <c r="B61" s="13" t="s">
        <v>124</v>
      </c>
      <c r="C61" s="40">
        <v>2</v>
      </c>
      <c r="D61" s="20">
        <v>10</v>
      </c>
      <c r="E61" s="41">
        <v>5</v>
      </c>
      <c r="F61" s="42">
        <v>8</v>
      </c>
      <c r="G61" s="36">
        <v>62.5</v>
      </c>
      <c r="H61" s="43">
        <v>0</v>
      </c>
      <c r="I61" s="42">
        <f>1/2</f>
        <v>0.5</v>
      </c>
      <c r="J61" s="26">
        <v>0</v>
      </c>
      <c r="K61" s="62" t="s">
        <v>125</v>
      </c>
      <c r="L61" s="42">
        <v>2</v>
      </c>
      <c r="M61" s="39">
        <v>0</v>
      </c>
      <c r="N61" s="57">
        <v>3.5</v>
      </c>
      <c r="O61" s="42">
        <v>3</v>
      </c>
      <c r="P61" s="45">
        <v>6.5</v>
      </c>
      <c r="Q61" s="82">
        <v>0.5</v>
      </c>
      <c r="R61" s="72">
        <v>1.5</v>
      </c>
      <c r="S61" s="46">
        <v>0.5</v>
      </c>
      <c r="T61" s="91">
        <v>0</v>
      </c>
      <c r="U61" s="43">
        <v>3</v>
      </c>
      <c r="V61" s="85" t="s">
        <v>27</v>
      </c>
      <c r="W61" s="40" t="s">
        <v>126</v>
      </c>
      <c r="X61" s="23">
        <v>12.5</v>
      </c>
      <c r="Y61" s="108" t="s">
        <v>49</v>
      </c>
    </row>
    <row r="62" spans="1:25" ht="18.75" customHeight="1">
      <c r="A62" s="16">
        <v>56</v>
      </c>
      <c r="B62" s="10" t="s">
        <v>127</v>
      </c>
      <c r="C62" s="47">
        <v>9</v>
      </c>
      <c r="D62" s="21">
        <v>12.6</v>
      </c>
      <c r="E62" s="48">
        <f>20/9</f>
        <v>2.2222222222222223</v>
      </c>
      <c r="F62" s="49">
        <f>40/9</f>
        <v>4.4444444444444446</v>
      </c>
      <c r="G62" s="34">
        <v>50</v>
      </c>
      <c r="H62" s="50">
        <f>18/9</f>
        <v>2</v>
      </c>
      <c r="I62" s="49">
        <f>53/9</f>
        <v>5.8888888888888893</v>
      </c>
      <c r="J62" s="27">
        <v>34</v>
      </c>
      <c r="K62" s="48">
        <f>19/9</f>
        <v>2.1111111111111112</v>
      </c>
      <c r="L62" s="49">
        <f>25/9</f>
        <v>2.7777777777777777</v>
      </c>
      <c r="M62" s="34">
        <v>76</v>
      </c>
      <c r="N62" s="50">
        <v>4</v>
      </c>
      <c r="O62" s="49">
        <v>0.9</v>
      </c>
      <c r="P62" s="51">
        <v>4.9000000000000004</v>
      </c>
      <c r="Q62" s="81">
        <v>1.9</v>
      </c>
      <c r="R62" s="76">
        <v>2</v>
      </c>
      <c r="S62" s="55">
        <v>1.6</v>
      </c>
      <c r="T62" s="90">
        <v>0.2</v>
      </c>
      <c r="U62" s="50">
        <v>2.7</v>
      </c>
      <c r="V62" s="86" t="s">
        <v>27</v>
      </c>
      <c r="W62" s="47" t="s">
        <v>128</v>
      </c>
      <c r="X62" s="21">
        <v>12.4</v>
      </c>
      <c r="Y62" s="107" t="s">
        <v>42</v>
      </c>
    </row>
    <row r="63" spans="1:25" ht="18.75" customHeight="1">
      <c r="A63" s="17">
        <v>57</v>
      </c>
      <c r="B63" s="13" t="s">
        <v>129</v>
      </c>
      <c r="C63" s="40">
        <v>17</v>
      </c>
      <c r="D63" s="23">
        <v>11.5</v>
      </c>
      <c r="E63" s="41">
        <f>76/17</f>
        <v>4.4705882352941178</v>
      </c>
      <c r="F63" s="42">
        <f>142/17</f>
        <v>8.3529411764705888</v>
      </c>
      <c r="G63" s="36">
        <v>53.5</v>
      </c>
      <c r="H63" s="59">
        <v>0</v>
      </c>
      <c r="I63" s="42">
        <f>11/17</f>
        <v>0.6470588235294118</v>
      </c>
      <c r="J63" s="30">
        <v>0</v>
      </c>
      <c r="K63" s="41">
        <f>43/17</f>
        <v>2.5294117647058822</v>
      </c>
      <c r="L63" s="42">
        <f>60/17</f>
        <v>3.5294117647058822</v>
      </c>
      <c r="M63" s="33">
        <v>71.7</v>
      </c>
      <c r="N63" s="43">
        <v>3.8</v>
      </c>
      <c r="O63" s="44">
        <v>2.1</v>
      </c>
      <c r="P63" s="45">
        <v>5.9</v>
      </c>
      <c r="Q63" s="40">
        <v>0.9</v>
      </c>
      <c r="R63" s="77">
        <v>0.3</v>
      </c>
      <c r="S63" s="46">
        <v>1.8</v>
      </c>
      <c r="T63" s="91">
        <v>0.7</v>
      </c>
      <c r="U63" s="57">
        <v>2.1</v>
      </c>
      <c r="V63" s="85" t="s">
        <v>27</v>
      </c>
      <c r="W63" s="40" t="s">
        <v>130</v>
      </c>
      <c r="X63" s="23">
        <v>12.4</v>
      </c>
      <c r="Y63" s="108" t="s">
        <v>49</v>
      </c>
    </row>
    <row r="64" spans="1:25" ht="18.75" customHeight="1">
      <c r="A64" s="16">
        <v>58</v>
      </c>
      <c r="B64" s="9" t="s">
        <v>131</v>
      </c>
      <c r="C64" s="47">
        <v>18</v>
      </c>
      <c r="D64" s="22">
        <v>10.6</v>
      </c>
      <c r="E64" s="48">
        <f>67/18</f>
        <v>3.7222222222222223</v>
      </c>
      <c r="F64" s="49">
        <f>131/18</f>
        <v>7.2777777777777777</v>
      </c>
      <c r="G64" s="34">
        <v>51.1</v>
      </c>
      <c r="H64" s="56">
        <f>5/18</f>
        <v>0.27777777777777779</v>
      </c>
      <c r="I64" s="49">
        <f>13/18</f>
        <v>0.72222222222222221</v>
      </c>
      <c r="J64" s="27">
        <v>38.5</v>
      </c>
      <c r="K64" s="48">
        <f>41/18</f>
        <v>2.2777777777777777</v>
      </c>
      <c r="L64" s="49">
        <f>80/18</f>
        <v>4.4444444444444446</v>
      </c>
      <c r="M64" s="35">
        <v>51.3</v>
      </c>
      <c r="N64" s="54">
        <v>3.1</v>
      </c>
      <c r="O64" s="49">
        <v>2.4</v>
      </c>
      <c r="P64" s="51">
        <v>5.6</v>
      </c>
      <c r="Q64" s="81">
        <v>1</v>
      </c>
      <c r="R64" s="74">
        <v>0.7</v>
      </c>
      <c r="S64" s="48">
        <v>1.1000000000000001</v>
      </c>
      <c r="T64" s="90">
        <v>0.6</v>
      </c>
      <c r="U64" s="54">
        <v>2.8</v>
      </c>
      <c r="V64" s="86" t="s">
        <v>27</v>
      </c>
      <c r="W64" s="47" t="s">
        <v>132</v>
      </c>
      <c r="X64" s="22">
        <v>12.1</v>
      </c>
      <c r="Y64" s="107" t="s">
        <v>49</v>
      </c>
    </row>
    <row r="65" spans="1:25" ht="18.75" customHeight="1">
      <c r="A65" s="17">
        <v>59</v>
      </c>
      <c r="B65" s="14" t="s">
        <v>133</v>
      </c>
      <c r="C65" s="40">
        <v>18</v>
      </c>
      <c r="D65" s="20">
        <v>15.9</v>
      </c>
      <c r="E65" s="41">
        <f>65/18</f>
        <v>3.6111111111111112</v>
      </c>
      <c r="F65" s="42">
        <f>111/18</f>
        <v>6.166666666666667</v>
      </c>
      <c r="G65" s="36">
        <v>58.6</v>
      </c>
      <c r="H65" s="43">
        <f>38/18</f>
        <v>2.1111111111111112</v>
      </c>
      <c r="I65" s="42">
        <f>119/18</f>
        <v>6.6111111111111107</v>
      </c>
      <c r="J65" s="26">
        <v>31.9</v>
      </c>
      <c r="K65" s="41">
        <f>43/18</f>
        <v>2.3888888888888888</v>
      </c>
      <c r="L65" s="42">
        <f>58/18</f>
        <v>3.2222222222222223</v>
      </c>
      <c r="M65" s="33">
        <v>74.099999999999994</v>
      </c>
      <c r="N65" s="43">
        <v>4</v>
      </c>
      <c r="O65" s="44">
        <v>0.7</v>
      </c>
      <c r="P65" s="45">
        <v>4.7</v>
      </c>
      <c r="Q65" s="40">
        <v>1.4</v>
      </c>
      <c r="R65" s="77">
        <v>0.2</v>
      </c>
      <c r="S65" s="46">
        <v>2.6</v>
      </c>
      <c r="T65" s="88">
        <v>1</v>
      </c>
      <c r="U65" s="57">
        <v>2.9</v>
      </c>
      <c r="V65" s="85" t="s">
        <v>27</v>
      </c>
      <c r="W65" s="40" t="s">
        <v>134</v>
      </c>
      <c r="X65" s="20">
        <v>11.9</v>
      </c>
      <c r="Y65" s="108" t="s">
        <v>29</v>
      </c>
    </row>
    <row r="66" spans="1:25" ht="18.75" customHeight="1">
      <c r="A66" s="16">
        <v>60</v>
      </c>
      <c r="B66" s="9" t="s">
        <v>135</v>
      </c>
      <c r="C66" s="47">
        <v>32</v>
      </c>
      <c r="D66" s="21">
        <v>11.3</v>
      </c>
      <c r="E66" s="48">
        <f>94/32</f>
        <v>2.9375</v>
      </c>
      <c r="F66" s="49">
        <f>173/32</f>
        <v>5.40625</v>
      </c>
      <c r="G66" s="35">
        <v>54.3</v>
      </c>
      <c r="H66" s="50">
        <f>43/32</f>
        <v>1.34375</v>
      </c>
      <c r="I66" s="49">
        <f>122/32</f>
        <v>3.8125</v>
      </c>
      <c r="J66" s="27">
        <v>35.200000000000003</v>
      </c>
      <c r="K66" s="48">
        <f>43/32</f>
        <v>1.34375</v>
      </c>
      <c r="L66" s="49">
        <f>57/32</f>
        <v>1.78125</v>
      </c>
      <c r="M66" s="35">
        <v>75.400000000000006</v>
      </c>
      <c r="N66" s="54">
        <v>3.1</v>
      </c>
      <c r="O66" s="53">
        <v>1.5</v>
      </c>
      <c r="P66" s="51">
        <v>4.5999999999999996</v>
      </c>
      <c r="Q66" s="47">
        <v>1.6</v>
      </c>
      <c r="R66" s="74">
        <v>0.4</v>
      </c>
      <c r="S66" s="48">
        <v>1</v>
      </c>
      <c r="T66" s="89">
        <v>1</v>
      </c>
      <c r="U66" s="54">
        <v>2.2999999999999998</v>
      </c>
      <c r="V66" s="86" t="s">
        <v>27</v>
      </c>
      <c r="W66" s="47" t="s">
        <v>136</v>
      </c>
      <c r="X66" s="21">
        <v>11.9</v>
      </c>
      <c r="Y66" s="107" t="s">
        <v>42</v>
      </c>
    </row>
    <row r="67" spans="1:25" ht="18.75" customHeight="1">
      <c r="A67" s="17">
        <v>61</v>
      </c>
      <c r="B67" s="13" t="s">
        <v>137</v>
      </c>
      <c r="C67" s="40">
        <v>39</v>
      </c>
      <c r="D67" s="20">
        <v>15</v>
      </c>
      <c r="E67" s="41">
        <f>97/39</f>
        <v>2.4871794871794872</v>
      </c>
      <c r="F67" s="42">
        <f>226/39</f>
        <v>5.7948717948717947</v>
      </c>
      <c r="G67" s="36">
        <v>42.9</v>
      </c>
      <c r="H67" s="43">
        <f>97/39</f>
        <v>2.4871794871794872</v>
      </c>
      <c r="I67" s="42">
        <f>278/39</f>
        <v>7.1282051282051286</v>
      </c>
      <c r="J67" s="31">
        <v>34.9</v>
      </c>
      <c r="K67" s="41">
        <f>99/39</f>
        <v>2.5384615384615383</v>
      </c>
      <c r="L67" s="42">
        <f>134/39</f>
        <v>3.4358974358974357</v>
      </c>
      <c r="M67" s="36">
        <v>73.900000000000006</v>
      </c>
      <c r="N67" s="43">
        <v>3</v>
      </c>
      <c r="O67" s="44">
        <v>0.7</v>
      </c>
      <c r="P67" s="61">
        <v>3.7</v>
      </c>
      <c r="Q67" s="40">
        <v>2.5</v>
      </c>
      <c r="R67" s="72">
        <v>0.1</v>
      </c>
      <c r="S67" s="46">
        <v>1.8</v>
      </c>
      <c r="T67" s="91">
        <v>0.8</v>
      </c>
      <c r="U67" s="57">
        <v>1.9</v>
      </c>
      <c r="V67" s="85" t="s">
        <v>27</v>
      </c>
      <c r="W67" s="96" t="s">
        <v>96</v>
      </c>
      <c r="X67" s="23">
        <v>11.8</v>
      </c>
      <c r="Y67" s="108" t="s">
        <v>36</v>
      </c>
    </row>
    <row r="68" spans="1:25" ht="18.75" customHeight="1">
      <c r="A68" s="16">
        <v>62</v>
      </c>
      <c r="B68" s="9" t="s">
        <v>138</v>
      </c>
      <c r="C68" s="47">
        <v>21</v>
      </c>
      <c r="D68" s="21">
        <v>9.8000000000000007</v>
      </c>
      <c r="E68" s="48">
        <f>79/21</f>
        <v>3.7619047619047619</v>
      </c>
      <c r="F68" s="49">
        <f>135/21</f>
        <v>6.4285714285714288</v>
      </c>
      <c r="G68" s="34">
        <v>58.5</v>
      </c>
      <c r="H68" s="50">
        <f>7/21</f>
        <v>0.33333333333333331</v>
      </c>
      <c r="I68" s="49">
        <f>28/21</f>
        <v>1.3333333333333333</v>
      </c>
      <c r="J68" s="27">
        <v>25</v>
      </c>
      <c r="K68" s="48">
        <f>26/21</f>
        <v>1.2380952380952381</v>
      </c>
      <c r="L68" s="49">
        <f>50/21</f>
        <v>2.3809523809523809</v>
      </c>
      <c r="M68" s="34">
        <v>52</v>
      </c>
      <c r="N68" s="54">
        <v>3.7</v>
      </c>
      <c r="O68" s="53">
        <v>1.2</v>
      </c>
      <c r="P68" s="51">
        <v>4.9000000000000004</v>
      </c>
      <c r="Q68" s="47">
        <v>1.5</v>
      </c>
      <c r="R68" s="74">
        <v>1.1000000000000001</v>
      </c>
      <c r="S68" s="48">
        <v>0.7</v>
      </c>
      <c r="T68" s="90">
        <v>0.7</v>
      </c>
      <c r="U68" s="54">
        <v>2.2999999999999998</v>
      </c>
      <c r="V68" s="86" t="s">
        <v>27</v>
      </c>
      <c r="W68" s="47" t="s">
        <v>139</v>
      </c>
      <c r="X68" s="22">
        <v>11.7</v>
      </c>
      <c r="Y68" s="107" t="s">
        <v>49</v>
      </c>
    </row>
    <row r="69" spans="1:25" ht="18.75" customHeight="1">
      <c r="A69" s="17">
        <v>63</v>
      </c>
      <c r="B69" s="13" t="s">
        <v>140</v>
      </c>
      <c r="C69" s="40">
        <v>15</v>
      </c>
      <c r="D69" s="23">
        <v>14.1</v>
      </c>
      <c r="E69" s="41">
        <f>44/15</f>
        <v>2.9333333333333331</v>
      </c>
      <c r="F69" s="42">
        <f>90/15</f>
        <v>6</v>
      </c>
      <c r="G69" s="36">
        <v>48.9</v>
      </c>
      <c r="H69" s="43">
        <f>27/15</f>
        <v>1.8</v>
      </c>
      <c r="I69" s="42">
        <f>87/15</f>
        <v>5.8</v>
      </c>
      <c r="J69" s="26">
        <v>31</v>
      </c>
      <c r="K69" s="41">
        <f>42/15</f>
        <v>2.8</v>
      </c>
      <c r="L69" s="42">
        <f>54/15</f>
        <v>3.6</v>
      </c>
      <c r="M69" s="33">
        <v>77.8</v>
      </c>
      <c r="N69" s="57">
        <v>3.2</v>
      </c>
      <c r="O69" s="44">
        <v>0.9</v>
      </c>
      <c r="P69" s="45">
        <v>4.0999999999999996</v>
      </c>
      <c r="Q69" s="40">
        <v>1.2</v>
      </c>
      <c r="R69" s="72">
        <v>0.1</v>
      </c>
      <c r="S69" s="46">
        <v>0.8</v>
      </c>
      <c r="T69" s="91">
        <v>0.5</v>
      </c>
      <c r="U69" s="57">
        <v>2.6</v>
      </c>
      <c r="V69" s="85" t="s">
        <v>27</v>
      </c>
      <c r="W69" s="40" t="s">
        <v>141</v>
      </c>
      <c r="X69" s="23">
        <v>11.5</v>
      </c>
      <c r="Y69" s="108" t="s">
        <v>29</v>
      </c>
    </row>
    <row r="70" spans="1:25" ht="18.75" customHeight="1">
      <c r="A70" s="16">
        <v>64</v>
      </c>
      <c r="B70" s="11" t="s">
        <v>142</v>
      </c>
      <c r="C70" s="47">
        <v>9</v>
      </c>
      <c r="D70" s="22">
        <v>12.7</v>
      </c>
      <c r="E70" s="48">
        <f>31/9</f>
        <v>3.4444444444444446</v>
      </c>
      <c r="F70" s="49">
        <f>54/9</f>
        <v>6</v>
      </c>
      <c r="G70" s="34">
        <v>57.4</v>
      </c>
      <c r="H70" s="50">
        <f>12/9</f>
        <v>1.3333333333333333</v>
      </c>
      <c r="I70" s="49">
        <f>26/9</f>
        <v>2.8888888888888888</v>
      </c>
      <c r="J70" s="27">
        <v>46.2</v>
      </c>
      <c r="K70" s="48">
        <f>12/9</f>
        <v>1.3333333333333333</v>
      </c>
      <c r="L70" s="49">
        <f>21/9</f>
        <v>2.3333333333333335</v>
      </c>
      <c r="M70" s="35">
        <v>76.2</v>
      </c>
      <c r="N70" s="50">
        <v>1.6</v>
      </c>
      <c r="O70" s="53">
        <v>0.3</v>
      </c>
      <c r="P70" s="51">
        <v>1.9</v>
      </c>
      <c r="Q70" s="47">
        <v>2.9</v>
      </c>
      <c r="R70" s="74">
        <v>0.1</v>
      </c>
      <c r="S70" s="48">
        <v>2.8</v>
      </c>
      <c r="T70" s="89">
        <v>1.3</v>
      </c>
      <c r="U70" s="50">
        <v>2</v>
      </c>
      <c r="V70" s="86" t="s">
        <v>27</v>
      </c>
      <c r="W70" s="47" t="s">
        <v>143</v>
      </c>
      <c r="X70" s="21">
        <v>11.1</v>
      </c>
      <c r="Y70" s="107" t="s">
        <v>36</v>
      </c>
    </row>
    <row r="71" spans="1:25" ht="18.75" customHeight="1">
      <c r="A71" s="17">
        <v>65</v>
      </c>
      <c r="B71" s="13" t="s">
        <v>144</v>
      </c>
      <c r="C71" s="40">
        <v>16</v>
      </c>
      <c r="D71" s="20">
        <v>11.4</v>
      </c>
      <c r="E71" s="41">
        <f>48/16</f>
        <v>3</v>
      </c>
      <c r="F71" s="42">
        <f>96/16</f>
        <v>6</v>
      </c>
      <c r="G71" s="33">
        <v>50</v>
      </c>
      <c r="H71" s="43">
        <f>17/16</f>
        <v>1.0625</v>
      </c>
      <c r="I71" s="42">
        <f>68/16</f>
        <v>4.25</v>
      </c>
      <c r="J71" s="26">
        <v>25</v>
      </c>
      <c r="K71" s="62">
        <f>35/16</f>
        <v>2.1875</v>
      </c>
      <c r="L71" s="42">
        <f>55/16</f>
        <v>3.4375</v>
      </c>
      <c r="M71" s="39">
        <v>63.6</v>
      </c>
      <c r="N71" s="57">
        <v>1.6</v>
      </c>
      <c r="O71" s="42">
        <v>0.9</v>
      </c>
      <c r="P71" s="45">
        <v>2.5</v>
      </c>
      <c r="Q71" s="82">
        <v>6.6</v>
      </c>
      <c r="R71" s="72">
        <v>0.1</v>
      </c>
      <c r="S71" s="46">
        <v>4.4000000000000004</v>
      </c>
      <c r="T71" s="91">
        <v>1.9</v>
      </c>
      <c r="U71" s="43">
        <v>3.1</v>
      </c>
      <c r="V71" s="85" t="s">
        <v>27</v>
      </c>
      <c r="W71" s="40" t="s">
        <v>83</v>
      </c>
      <c r="X71" s="23">
        <v>11.1</v>
      </c>
      <c r="Y71" s="108" t="s">
        <v>45</v>
      </c>
    </row>
    <row r="72" spans="1:25" ht="18.75" customHeight="1">
      <c r="A72" s="16">
        <v>66</v>
      </c>
      <c r="B72" s="9" t="s">
        <v>145</v>
      </c>
      <c r="C72" s="47">
        <v>12</v>
      </c>
      <c r="D72" s="22">
        <v>13.4</v>
      </c>
      <c r="E72" s="48">
        <f>31/12</f>
        <v>2.5833333333333335</v>
      </c>
      <c r="F72" s="49">
        <f>68/12</f>
        <v>5.666666666666667</v>
      </c>
      <c r="G72" s="34">
        <v>45.6</v>
      </c>
      <c r="H72" s="50">
        <f>28/12</f>
        <v>2.3333333333333335</v>
      </c>
      <c r="I72" s="49">
        <f>91/12</f>
        <v>7.583333333333333</v>
      </c>
      <c r="J72" s="27">
        <v>30.8</v>
      </c>
      <c r="K72" s="48">
        <f>15/12</f>
        <v>1.25</v>
      </c>
      <c r="L72" s="49">
        <f>20/15</f>
        <v>1.3333333333333333</v>
      </c>
      <c r="M72" s="34">
        <v>75</v>
      </c>
      <c r="N72" s="54">
        <v>4.3</v>
      </c>
      <c r="O72" s="49">
        <v>0.5</v>
      </c>
      <c r="P72" s="51">
        <v>4.8</v>
      </c>
      <c r="Q72" s="47">
        <v>2.7</v>
      </c>
      <c r="R72" s="74">
        <v>0.1</v>
      </c>
      <c r="S72" s="48">
        <v>1.4</v>
      </c>
      <c r="T72" s="90">
        <v>1.3</v>
      </c>
      <c r="U72" s="54">
        <v>2.2999999999999998</v>
      </c>
      <c r="V72" s="86" t="s">
        <v>27</v>
      </c>
      <c r="W72" s="47">
        <v>32.200000000000003</v>
      </c>
      <c r="X72" s="22">
        <v>10.9</v>
      </c>
      <c r="Y72" s="107" t="s">
        <v>42</v>
      </c>
    </row>
    <row r="73" spans="1:25" ht="18.75" customHeight="1">
      <c r="A73" s="17">
        <v>67</v>
      </c>
      <c r="B73" s="14" t="s">
        <v>146</v>
      </c>
      <c r="C73" s="40">
        <v>17</v>
      </c>
      <c r="D73" s="20">
        <v>12.9</v>
      </c>
      <c r="E73" s="41">
        <f>76/17</f>
        <v>4.4705882352941178</v>
      </c>
      <c r="F73" s="42">
        <f>132/17</f>
        <v>7.7647058823529411</v>
      </c>
      <c r="G73" s="33">
        <v>57.6</v>
      </c>
      <c r="H73" s="43">
        <f>16/17</f>
        <v>0.94117647058823528</v>
      </c>
      <c r="I73" s="42">
        <f>41/17</f>
        <v>2.4117647058823528</v>
      </c>
      <c r="J73" s="26">
        <v>39</v>
      </c>
      <c r="K73" s="41">
        <f>20/17</f>
        <v>1.1764705882352942</v>
      </c>
      <c r="L73" s="42">
        <f>35/17</f>
        <v>2.0588235294117645</v>
      </c>
      <c r="M73" s="36">
        <v>57.1</v>
      </c>
      <c r="N73" s="57">
        <v>2.2999999999999998</v>
      </c>
      <c r="O73" s="42">
        <v>1.9</v>
      </c>
      <c r="P73" s="45">
        <v>4.2</v>
      </c>
      <c r="Q73" s="40">
        <v>1.8</v>
      </c>
      <c r="R73" s="72">
        <v>0.2</v>
      </c>
      <c r="S73" s="41">
        <v>1.7</v>
      </c>
      <c r="T73" s="88">
        <v>0.8</v>
      </c>
      <c r="U73" s="43">
        <v>3.2</v>
      </c>
      <c r="V73" s="85" t="s">
        <v>27</v>
      </c>
      <c r="W73" s="40" t="s">
        <v>147</v>
      </c>
      <c r="X73" s="20">
        <v>10.9</v>
      </c>
      <c r="Y73" s="108" t="s">
        <v>42</v>
      </c>
    </row>
    <row r="74" spans="1:25" ht="18.75" customHeight="1">
      <c r="A74" s="16">
        <v>68</v>
      </c>
      <c r="B74" s="10" t="s">
        <v>148</v>
      </c>
      <c r="C74" s="47">
        <v>7</v>
      </c>
      <c r="D74" s="21">
        <v>11.6</v>
      </c>
      <c r="E74" s="48">
        <f>30/7</f>
        <v>4.2857142857142856</v>
      </c>
      <c r="F74" s="49">
        <f>54/7</f>
        <v>7.7142857142857144</v>
      </c>
      <c r="G74" s="35">
        <v>55.6</v>
      </c>
      <c r="H74" s="50">
        <f>4/7</f>
        <v>0.5714285714285714</v>
      </c>
      <c r="I74" s="49">
        <f>11/7</f>
        <v>1.5714285714285714</v>
      </c>
      <c r="J74" s="29">
        <v>36.4</v>
      </c>
      <c r="K74" s="48">
        <f>9/7</f>
        <v>1.2857142857142858</v>
      </c>
      <c r="L74" s="49">
        <f>13/7</f>
        <v>1.8571428571428572</v>
      </c>
      <c r="M74" s="35">
        <v>69.2</v>
      </c>
      <c r="N74" s="54">
        <v>2.7</v>
      </c>
      <c r="O74" s="53">
        <v>1.4</v>
      </c>
      <c r="P74" s="63">
        <v>4.0999999999999996</v>
      </c>
      <c r="Q74" s="47">
        <v>0.3</v>
      </c>
      <c r="R74" s="78">
        <v>0.6</v>
      </c>
      <c r="S74" s="55">
        <v>0.9</v>
      </c>
      <c r="T74" s="90">
        <v>0</v>
      </c>
      <c r="U74" s="54">
        <v>1.1000000000000001</v>
      </c>
      <c r="V74" s="86" t="s">
        <v>27</v>
      </c>
      <c r="W74" s="95" t="s">
        <v>149</v>
      </c>
      <c r="X74" s="21">
        <v>10.9</v>
      </c>
      <c r="Y74" s="107" t="s">
        <v>49</v>
      </c>
    </row>
    <row r="75" spans="1:25" ht="18.75" customHeight="1">
      <c r="A75" s="17">
        <v>69</v>
      </c>
      <c r="B75" s="14" t="s">
        <v>150</v>
      </c>
      <c r="C75" s="40">
        <v>4</v>
      </c>
      <c r="D75" s="20">
        <v>7</v>
      </c>
      <c r="E75" s="41">
        <f>13/4</f>
        <v>3.25</v>
      </c>
      <c r="F75" s="42">
        <f>27/4</f>
        <v>6.75</v>
      </c>
      <c r="G75" s="33">
        <v>48.1</v>
      </c>
      <c r="H75" s="59">
        <v>0</v>
      </c>
      <c r="I75" s="42">
        <v>0.3</v>
      </c>
      <c r="J75" s="30">
        <v>0</v>
      </c>
      <c r="K75" s="41">
        <v>0.5</v>
      </c>
      <c r="L75" s="42">
        <v>0.5</v>
      </c>
      <c r="M75" s="33">
        <v>50</v>
      </c>
      <c r="N75" s="43">
        <v>2.5</v>
      </c>
      <c r="O75" s="42">
        <v>2.2999999999999998</v>
      </c>
      <c r="P75" s="45">
        <v>4.8</v>
      </c>
      <c r="Q75" s="82">
        <v>3</v>
      </c>
      <c r="R75" s="77">
        <v>0.3</v>
      </c>
      <c r="S75" s="46">
        <v>1.3</v>
      </c>
      <c r="T75" s="91">
        <v>1.3</v>
      </c>
      <c r="U75" s="43">
        <v>1</v>
      </c>
      <c r="V75" s="85" t="s">
        <v>27</v>
      </c>
      <c r="W75" s="40" t="s">
        <v>151</v>
      </c>
      <c r="X75" s="23">
        <v>10.8</v>
      </c>
      <c r="Y75" s="108" t="s">
        <v>45</v>
      </c>
    </row>
    <row r="76" spans="1:25" ht="18.75" customHeight="1">
      <c r="A76" s="16">
        <v>70</v>
      </c>
      <c r="B76" s="10" t="s">
        <v>152</v>
      </c>
      <c r="C76" s="47">
        <v>24</v>
      </c>
      <c r="D76" s="21">
        <v>8.3000000000000007</v>
      </c>
      <c r="E76" s="48">
        <f>81/24</f>
        <v>3.375</v>
      </c>
      <c r="F76" s="49">
        <f>149/24</f>
        <v>6.208333333333333</v>
      </c>
      <c r="G76" s="35">
        <v>54.4</v>
      </c>
      <c r="H76" s="56">
        <v>0</v>
      </c>
      <c r="I76" s="49">
        <v>0.1</v>
      </c>
      <c r="J76" s="28">
        <v>0</v>
      </c>
      <c r="K76" s="48">
        <f>38/24</f>
        <v>1.5833333333333333</v>
      </c>
      <c r="L76" s="49">
        <f>57/24</f>
        <v>2.375</v>
      </c>
      <c r="M76" s="35">
        <v>66.7</v>
      </c>
      <c r="N76" s="54">
        <v>4.0999999999999996</v>
      </c>
      <c r="O76" s="53">
        <v>1.4</v>
      </c>
      <c r="P76" s="51">
        <v>5.5</v>
      </c>
      <c r="Q76" s="47">
        <v>1.3</v>
      </c>
      <c r="R76" s="76">
        <v>1</v>
      </c>
      <c r="S76" s="55">
        <v>1.4</v>
      </c>
      <c r="T76" s="90">
        <v>0.6</v>
      </c>
      <c r="U76" s="54">
        <v>3.1</v>
      </c>
      <c r="V76" s="86" t="s">
        <v>27</v>
      </c>
      <c r="W76" s="47" t="s">
        <v>153</v>
      </c>
      <c r="X76" s="21">
        <v>10.7</v>
      </c>
      <c r="Y76" s="107" t="s">
        <v>49</v>
      </c>
    </row>
    <row r="77" spans="1:25" ht="18.75" customHeight="1">
      <c r="A77" s="17">
        <v>71</v>
      </c>
      <c r="B77" s="14" t="s">
        <v>154</v>
      </c>
      <c r="C77" s="40">
        <v>19</v>
      </c>
      <c r="D77" s="20">
        <v>10.8</v>
      </c>
      <c r="E77" s="41">
        <f>42/19</f>
        <v>2.2105263157894739</v>
      </c>
      <c r="F77" s="42">
        <f>99/19</f>
        <v>5.2105263157894735</v>
      </c>
      <c r="G77" s="36">
        <v>42.4</v>
      </c>
      <c r="H77" s="43">
        <f>36/19</f>
        <v>1.8947368421052631</v>
      </c>
      <c r="I77" s="42">
        <f>105/19</f>
        <v>5.5263157894736841</v>
      </c>
      <c r="J77" s="26">
        <v>34.299999999999997</v>
      </c>
      <c r="K77" s="41">
        <f>13/19</f>
        <v>0.68421052631578949</v>
      </c>
      <c r="L77" s="42">
        <f>31/19</f>
        <v>1.631578947368421</v>
      </c>
      <c r="M77" s="33">
        <v>41.9</v>
      </c>
      <c r="N77" s="43">
        <v>4.8</v>
      </c>
      <c r="O77" s="44">
        <v>0.8</v>
      </c>
      <c r="P77" s="45">
        <v>5.7</v>
      </c>
      <c r="Q77" s="40">
        <v>2.1</v>
      </c>
      <c r="R77" s="77">
        <v>0.1</v>
      </c>
      <c r="S77" s="46">
        <v>1.7</v>
      </c>
      <c r="T77" s="88">
        <v>1</v>
      </c>
      <c r="U77" s="57">
        <v>1.4</v>
      </c>
      <c r="V77" s="85" t="s">
        <v>27</v>
      </c>
      <c r="W77" s="40" t="s">
        <v>79</v>
      </c>
      <c r="X77" s="20">
        <v>10.199999999999999</v>
      </c>
      <c r="Y77" s="108" t="s">
        <v>36</v>
      </c>
    </row>
    <row r="78" spans="1:25" ht="18.75" customHeight="1">
      <c r="A78" s="16">
        <v>72</v>
      </c>
      <c r="B78" s="10" t="s">
        <v>155</v>
      </c>
      <c r="C78" s="47">
        <v>18</v>
      </c>
      <c r="D78" s="22">
        <v>6.6</v>
      </c>
      <c r="E78" s="48">
        <f>49/18</f>
        <v>2.7222222222222223</v>
      </c>
      <c r="F78" s="49">
        <f>86/18</f>
        <v>4.7777777777777777</v>
      </c>
      <c r="G78" s="34">
        <v>57</v>
      </c>
      <c r="H78" s="56">
        <f>2/18</f>
        <v>0.1111111111111111</v>
      </c>
      <c r="I78" s="49">
        <f>14/18</f>
        <v>0.77777777777777779</v>
      </c>
      <c r="J78" s="27">
        <v>14.3</v>
      </c>
      <c r="K78" s="48">
        <f>15/18</f>
        <v>0.83333333333333337</v>
      </c>
      <c r="L78" s="49">
        <f>29/18</f>
        <v>1.6111111111111112</v>
      </c>
      <c r="M78" s="35">
        <v>51.7</v>
      </c>
      <c r="N78" s="54">
        <v>4.2</v>
      </c>
      <c r="O78" s="49">
        <v>1.8</v>
      </c>
      <c r="P78" s="51">
        <v>6.1</v>
      </c>
      <c r="Q78" s="47">
        <v>2.2000000000000002</v>
      </c>
      <c r="R78" s="74">
        <v>0.3</v>
      </c>
      <c r="S78" s="48">
        <v>1.6</v>
      </c>
      <c r="T78" s="90">
        <v>0.4</v>
      </c>
      <c r="U78" s="54">
        <v>1.4</v>
      </c>
      <c r="V78" s="86" t="s">
        <v>27</v>
      </c>
      <c r="W78" s="47">
        <v>21.6</v>
      </c>
      <c r="X78" s="22">
        <v>10.1</v>
      </c>
      <c r="Y78" s="107" t="s">
        <v>29</v>
      </c>
    </row>
    <row r="79" spans="1:25" ht="18.75" customHeight="1">
      <c r="A79" s="17">
        <v>73</v>
      </c>
      <c r="B79" s="13" t="s">
        <v>156</v>
      </c>
      <c r="C79" s="40">
        <v>5</v>
      </c>
      <c r="D79" s="20">
        <v>10.6</v>
      </c>
      <c r="E79" s="41">
        <v>1</v>
      </c>
      <c r="F79" s="42">
        <f>9/5</f>
        <v>1.8</v>
      </c>
      <c r="G79" s="36">
        <v>55.6</v>
      </c>
      <c r="H79" s="43">
        <f>12/5</f>
        <v>2.4</v>
      </c>
      <c r="I79" s="42">
        <f>36/5</f>
        <v>7.2</v>
      </c>
      <c r="J79" s="26">
        <v>33.299999999999997</v>
      </c>
      <c r="K79" s="41">
        <f>7/5</f>
        <v>1.4</v>
      </c>
      <c r="L79" s="42">
        <v>2</v>
      </c>
      <c r="M79" s="33">
        <v>70</v>
      </c>
      <c r="N79" s="43">
        <v>1.8</v>
      </c>
      <c r="O79" s="44">
        <v>0.2</v>
      </c>
      <c r="P79" s="45">
        <v>2</v>
      </c>
      <c r="Q79" s="40">
        <v>2.8</v>
      </c>
      <c r="R79" s="79">
        <v>0</v>
      </c>
      <c r="S79" s="46">
        <v>0.8</v>
      </c>
      <c r="T79" s="91">
        <v>0.8</v>
      </c>
      <c r="U79" s="57">
        <v>2.6</v>
      </c>
      <c r="V79" s="85" t="s">
        <v>27</v>
      </c>
      <c r="W79" s="40" t="s">
        <v>157</v>
      </c>
      <c r="X79" s="20">
        <v>10</v>
      </c>
      <c r="Y79" s="108" t="s">
        <v>36</v>
      </c>
    </row>
    <row r="80" spans="1:25" ht="18.75" customHeight="1">
      <c r="A80" s="16">
        <v>74</v>
      </c>
      <c r="B80" s="9" t="s">
        <v>158</v>
      </c>
      <c r="C80" s="47">
        <v>18</v>
      </c>
      <c r="D80" s="21">
        <v>11.4</v>
      </c>
      <c r="E80" s="48">
        <f>55/18</f>
        <v>3.0555555555555554</v>
      </c>
      <c r="F80" s="49">
        <f>83/18</f>
        <v>4.6111111111111107</v>
      </c>
      <c r="G80" s="34">
        <v>66.3</v>
      </c>
      <c r="H80" s="50">
        <f>22/18</f>
        <v>1.2222222222222223</v>
      </c>
      <c r="I80" s="49">
        <f>73/18</f>
        <v>4.0555555555555554</v>
      </c>
      <c r="J80" s="27">
        <v>30.1</v>
      </c>
      <c r="K80" s="48">
        <f>29/18</f>
        <v>1.6111111111111112</v>
      </c>
      <c r="L80" s="49">
        <f>31/18</f>
        <v>1.7222222222222223</v>
      </c>
      <c r="M80" s="34">
        <v>93.5</v>
      </c>
      <c r="N80" s="54">
        <v>1.7</v>
      </c>
      <c r="O80" s="49">
        <v>0.4</v>
      </c>
      <c r="P80" s="51">
        <v>2.1</v>
      </c>
      <c r="Q80" s="47">
        <v>1.1000000000000001</v>
      </c>
      <c r="R80" s="74">
        <v>0</v>
      </c>
      <c r="S80" s="55">
        <v>0.8</v>
      </c>
      <c r="T80" s="90">
        <v>0.7</v>
      </c>
      <c r="U80" s="50">
        <v>1.2</v>
      </c>
      <c r="V80" s="86" t="s">
        <v>27</v>
      </c>
      <c r="W80" s="47" t="s">
        <v>159</v>
      </c>
      <c r="X80" s="21">
        <v>9.8000000000000007</v>
      </c>
      <c r="Y80" s="107" t="s">
        <v>36</v>
      </c>
    </row>
    <row r="81" spans="1:25" ht="18.75" customHeight="1">
      <c r="A81" s="17">
        <v>75</v>
      </c>
      <c r="B81" s="13" t="s">
        <v>160</v>
      </c>
      <c r="C81" s="40">
        <v>3</v>
      </c>
      <c r="D81" s="20">
        <v>8</v>
      </c>
      <c r="E81" s="41">
        <v>1</v>
      </c>
      <c r="F81" s="42">
        <f>4/3</f>
        <v>1.3333333333333333</v>
      </c>
      <c r="G81" s="33">
        <v>75</v>
      </c>
      <c r="H81" s="57">
        <v>1.3</v>
      </c>
      <c r="I81" s="42">
        <f>9/3</f>
        <v>3</v>
      </c>
      <c r="J81" s="31">
        <v>44.4</v>
      </c>
      <c r="K81" s="41">
        <f>6/3</f>
        <v>2</v>
      </c>
      <c r="L81" s="42">
        <f>7/3</f>
        <v>2.3333333333333335</v>
      </c>
      <c r="M81" s="36">
        <v>85.7</v>
      </c>
      <c r="N81" s="57">
        <v>2.2999999999999998</v>
      </c>
      <c r="O81" s="44">
        <v>0.7</v>
      </c>
      <c r="P81" s="45">
        <v>3</v>
      </c>
      <c r="Q81" s="40">
        <v>0.3</v>
      </c>
      <c r="R81" s="72">
        <v>0</v>
      </c>
      <c r="S81" s="41">
        <v>1</v>
      </c>
      <c r="T81" s="91">
        <v>0</v>
      </c>
      <c r="U81" s="57">
        <v>0.7</v>
      </c>
      <c r="V81" s="85" t="s">
        <v>27</v>
      </c>
      <c r="W81" s="93" t="s">
        <v>161</v>
      </c>
      <c r="X81" s="23">
        <v>9.3000000000000007</v>
      </c>
      <c r="Y81" s="108" t="s">
        <v>49</v>
      </c>
    </row>
    <row r="82" spans="1:25" ht="18.75" customHeight="1">
      <c r="A82" s="16">
        <v>76</v>
      </c>
      <c r="B82" s="10" t="s">
        <v>162</v>
      </c>
      <c r="C82" s="47">
        <v>4</v>
      </c>
      <c r="D82" s="22">
        <v>6</v>
      </c>
      <c r="E82" s="48">
        <f>10/4</f>
        <v>2.5</v>
      </c>
      <c r="F82" s="49">
        <f>16/4</f>
        <v>4</v>
      </c>
      <c r="G82" s="35">
        <v>62.5</v>
      </c>
      <c r="H82" s="56">
        <v>0</v>
      </c>
      <c r="I82" s="49">
        <f>1/4</f>
        <v>0.25</v>
      </c>
      <c r="J82" s="29">
        <v>0</v>
      </c>
      <c r="K82" s="48">
        <v>1</v>
      </c>
      <c r="L82" s="49">
        <f>11/4</f>
        <v>2.75</v>
      </c>
      <c r="M82" s="35">
        <v>36.4</v>
      </c>
      <c r="N82" s="54">
        <v>3.8</v>
      </c>
      <c r="O82" s="53">
        <v>1.3</v>
      </c>
      <c r="P82" s="51">
        <v>5</v>
      </c>
      <c r="Q82" s="47">
        <v>0.8</v>
      </c>
      <c r="R82" s="74">
        <v>2.2999999999999998</v>
      </c>
      <c r="S82" s="48">
        <v>1</v>
      </c>
      <c r="T82" s="90">
        <v>0.5</v>
      </c>
      <c r="U82" s="54">
        <v>3.3</v>
      </c>
      <c r="V82" s="86" t="s">
        <v>27</v>
      </c>
      <c r="W82" s="95" t="s">
        <v>163</v>
      </c>
      <c r="X82" s="21">
        <v>9.3000000000000007</v>
      </c>
      <c r="Y82" s="107" t="s">
        <v>49</v>
      </c>
    </row>
    <row r="83" spans="1:25" ht="18.75" customHeight="1">
      <c r="A83" s="17">
        <v>77</v>
      </c>
      <c r="B83" s="13" t="s">
        <v>164</v>
      </c>
      <c r="C83" s="40">
        <v>13</v>
      </c>
      <c r="D83" s="20">
        <v>13.5</v>
      </c>
      <c r="E83" s="41">
        <f>22/13</f>
        <v>1.6923076923076923</v>
      </c>
      <c r="F83" s="42">
        <f>64/13</f>
        <v>4.9230769230769234</v>
      </c>
      <c r="G83" s="33">
        <v>34.4</v>
      </c>
      <c r="H83" s="43">
        <f>33/13</f>
        <v>2.5384615384615383</v>
      </c>
      <c r="I83" s="42">
        <f>106/13</f>
        <v>8.1538461538461533</v>
      </c>
      <c r="J83" s="26">
        <v>31.1</v>
      </c>
      <c r="K83" s="41">
        <f>33/13</f>
        <v>2.5384615384615383</v>
      </c>
      <c r="L83" s="42">
        <f>36/13</f>
        <v>2.7692307692307692</v>
      </c>
      <c r="M83" s="33">
        <v>91.7</v>
      </c>
      <c r="N83" s="43">
        <v>1.9</v>
      </c>
      <c r="O83" s="44">
        <v>0.9</v>
      </c>
      <c r="P83" s="45">
        <v>2.8</v>
      </c>
      <c r="Q83" s="82">
        <v>3</v>
      </c>
      <c r="R83" s="72">
        <v>0.1</v>
      </c>
      <c r="S83" s="41">
        <v>1.8</v>
      </c>
      <c r="T83" s="91">
        <v>0.4</v>
      </c>
      <c r="U83" s="43">
        <v>1.9</v>
      </c>
      <c r="V83" s="85" t="s">
        <v>27</v>
      </c>
      <c r="W83" s="40" t="s">
        <v>115</v>
      </c>
      <c r="X83" s="20">
        <v>9.1999999999999993</v>
      </c>
      <c r="Y83" s="108" t="s">
        <v>36</v>
      </c>
    </row>
    <row r="84" spans="1:25" ht="18.75" customHeight="1">
      <c r="A84" s="16">
        <v>78</v>
      </c>
      <c r="B84" s="10" t="s">
        <v>165</v>
      </c>
      <c r="C84" s="47">
        <v>19</v>
      </c>
      <c r="D84" s="21">
        <v>8.9</v>
      </c>
      <c r="E84" s="48">
        <f>64/19</f>
        <v>3.3684210526315788</v>
      </c>
      <c r="F84" s="49">
        <f>108/19</f>
        <v>5.6842105263157894</v>
      </c>
      <c r="G84" s="34">
        <v>59.3</v>
      </c>
      <c r="H84" s="50">
        <v>0.1</v>
      </c>
      <c r="I84" s="49">
        <f>7/19</f>
        <v>0.36842105263157893</v>
      </c>
      <c r="J84" s="27">
        <v>14.3</v>
      </c>
      <c r="K84" s="48">
        <f>38/19</f>
        <v>2</v>
      </c>
      <c r="L84" s="49">
        <f>58/19</f>
        <v>3.0526315789473686</v>
      </c>
      <c r="M84" s="34">
        <v>65.5</v>
      </c>
      <c r="N84" s="54">
        <v>2.8</v>
      </c>
      <c r="O84" s="49">
        <v>1.4</v>
      </c>
      <c r="P84" s="51">
        <v>4.2</v>
      </c>
      <c r="Q84" s="81">
        <v>0.9</v>
      </c>
      <c r="R84" s="78">
        <v>0.6</v>
      </c>
      <c r="S84" s="55">
        <v>1.7</v>
      </c>
      <c r="T84" s="90">
        <v>0.4</v>
      </c>
      <c r="U84" s="50">
        <v>3.3</v>
      </c>
      <c r="V84" s="86" t="s">
        <v>27</v>
      </c>
      <c r="W84" s="47" t="s">
        <v>122</v>
      </c>
      <c r="X84" s="21">
        <v>8.6999999999999993</v>
      </c>
      <c r="Y84" s="107" t="s">
        <v>49</v>
      </c>
    </row>
    <row r="85" spans="1:25" ht="18.75" customHeight="1">
      <c r="A85" s="17">
        <v>79</v>
      </c>
      <c r="B85" s="14" t="s">
        <v>166</v>
      </c>
      <c r="C85" s="40">
        <v>4</v>
      </c>
      <c r="D85" s="20">
        <v>12</v>
      </c>
      <c r="E85" s="41">
        <f>12/4</f>
        <v>3</v>
      </c>
      <c r="F85" s="42">
        <f>26/4</f>
        <v>6.5</v>
      </c>
      <c r="G85" s="33">
        <v>46.2</v>
      </c>
      <c r="H85" s="43">
        <f>7/4</f>
        <v>1.75</v>
      </c>
      <c r="I85" s="42">
        <f>17/4</f>
        <v>4.25</v>
      </c>
      <c r="J85" s="26">
        <v>41.2</v>
      </c>
      <c r="K85" s="41">
        <f>3/4</f>
        <v>0.75</v>
      </c>
      <c r="L85" s="42">
        <f>6/4</f>
        <v>1.5</v>
      </c>
      <c r="M85" s="33">
        <v>50</v>
      </c>
      <c r="N85" s="43">
        <v>1.8</v>
      </c>
      <c r="O85" s="42">
        <v>1.3</v>
      </c>
      <c r="P85" s="45">
        <v>3</v>
      </c>
      <c r="Q85" s="82">
        <v>1.8</v>
      </c>
      <c r="R85" s="79">
        <v>0.3</v>
      </c>
      <c r="S85" s="46">
        <v>1.8</v>
      </c>
      <c r="T85" s="88">
        <v>1</v>
      </c>
      <c r="U85" s="43">
        <v>2.8</v>
      </c>
      <c r="V85" s="85" t="s">
        <v>27</v>
      </c>
      <c r="W85" s="40">
        <v>27.3</v>
      </c>
      <c r="X85" s="23">
        <v>8.5</v>
      </c>
      <c r="Y85" s="108" t="s">
        <v>45</v>
      </c>
    </row>
    <row r="86" spans="1:25" ht="18.75" customHeight="1">
      <c r="A86" s="16">
        <v>80</v>
      </c>
      <c r="B86" s="10" t="s">
        <v>167</v>
      </c>
      <c r="C86" s="47">
        <v>2</v>
      </c>
      <c r="D86" s="22">
        <v>11</v>
      </c>
      <c r="E86" s="48">
        <v>0.5</v>
      </c>
      <c r="F86" s="49">
        <v>13.5</v>
      </c>
      <c r="G86" s="34">
        <v>37</v>
      </c>
      <c r="H86" s="50">
        <v>0</v>
      </c>
      <c r="I86" s="49">
        <v>0</v>
      </c>
      <c r="J86" s="27">
        <v>0</v>
      </c>
      <c r="K86" s="48">
        <v>1</v>
      </c>
      <c r="L86" s="49">
        <v>1</v>
      </c>
      <c r="M86" s="38">
        <v>100</v>
      </c>
      <c r="N86" s="50">
        <v>5</v>
      </c>
      <c r="O86" s="49">
        <v>3.5</v>
      </c>
      <c r="P86" s="51">
        <v>8.5</v>
      </c>
      <c r="Q86" s="81">
        <v>0.5</v>
      </c>
      <c r="R86" s="76">
        <v>2</v>
      </c>
      <c r="S86" s="48">
        <v>4</v>
      </c>
      <c r="T86" s="89">
        <v>2</v>
      </c>
      <c r="U86" s="50">
        <v>2.5</v>
      </c>
      <c r="V86" s="86" t="s">
        <v>27</v>
      </c>
      <c r="W86" s="47" t="s">
        <v>168</v>
      </c>
      <c r="X86" s="21">
        <v>8.5</v>
      </c>
      <c r="Y86" s="107" t="s">
        <v>49</v>
      </c>
    </row>
    <row r="87" spans="1:25" ht="18.75" customHeight="1">
      <c r="A87" s="17">
        <v>81</v>
      </c>
      <c r="B87" s="14" t="s">
        <v>169</v>
      </c>
      <c r="C87" s="40">
        <v>17</v>
      </c>
      <c r="D87" s="23">
        <v>8.1</v>
      </c>
      <c r="E87" s="41">
        <f>10/17</f>
        <v>0.58823529411764708</v>
      </c>
      <c r="F87" s="42">
        <f>27/17</f>
        <v>1.588235294117647</v>
      </c>
      <c r="G87" s="33">
        <v>37</v>
      </c>
      <c r="H87" s="43">
        <f>34/17</f>
        <v>2</v>
      </c>
      <c r="I87" s="42">
        <f>87/17</f>
        <v>5.117647058823529</v>
      </c>
      <c r="J87" s="26">
        <v>39.1</v>
      </c>
      <c r="K87" s="41">
        <f>16/17</f>
        <v>0.94117647058823528</v>
      </c>
      <c r="L87" s="42">
        <f>24/17</f>
        <v>1.411764705882353</v>
      </c>
      <c r="M87" s="33">
        <v>66.7</v>
      </c>
      <c r="N87" s="57">
        <v>2.9</v>
      </c>
      <c r="O87" s="42">
        <v>0.2</v>
      </c>
      <c r="P87" s="45">
        <v>3.1</v>
      </c>
      <c r="Q87" s="82">
        <v>1.8</v>
      </c>
      <c r="R87" s="72">
        <v>0.1</v>
      </c>
      <c r="S87" s="46">
        <v>0.6</v>
      </c>
      <c r="T87" s="91">
        <v>0.6</v>
      </c>
      <c r="U87" s="43">
        <v>0.9</v>
      </c>
      <c r="V87" s="85" t="s">
        <v>27</v>
      </c>
      <c r="W87" s="40" t="s">
        <v>170</v>
      </c>
      <c r="X87" s="23">
        <v>8.5</v>
      </c>
      <c r="Y87" s="108" t="s">
        <v>36</v>
      </c>
    </row>
    <row r="88" spans="1:25" ht="18.75" customHeight="1">
      <c r="A88" s="16">
        <v>82</v>
      </c>
      <c r="B88" s="10" t="s">
        <v>171</v>
      </c>
      <c r="C88" s="47">
        <v>25</v>
      </c>
      <c r="D88" s="21">
        <v>8.4</v>
      </c>
      <c r="E88" s="48">
        <f>41/25</f>
        <v>1.64</v>
      </c>
      <c r="F88" s="49">
        <f>89/25</f>
        <v>3.56</v>
      </c>
      <c r="G88" s="34">
        <v>46.1</v>
      </c>
      <c r="H88" s="50">
        <f>28/25</f>
        <v>1.1200000000000001</v>
      </c>
      <c r="I88" s="49">
        <f>112/25</f>
        <v>4.4800000000000004</v>
      </c>
      <c r="J88" s="27">
        <v>25</v>
      </c>
      <c r="K88" s="48">
        <f>43/25</f>
        <v>1.72</v>
      </c>
      <c r="L88" s="49">
        <f>60/25</f>
        <v>2.4</v>
      </c>
      <c r="M88" s="34">
        <v>71.7</v>
      </c>
      <c r="N88" s="54">
        <v>3.7</v>
      </c>
      <c r="O88" s="49">
        <v>1.4</v>
      </c>
      <c r="P88" s="51">
        <v>5.0999999999999996</v>
      </c>
      <c r="Q88" s="47">
        <v>0.7</v>
      </c>
      <c r="R88" s="74">
        <v>0.6</v>
      </c>
      <c r="S88" s="55">
        <v>1.3</v>
      </c>
      <c r="T88" s="90">
        <v>0.6</v>
      </c>
      <c r="U88" s="50">
        <v>2</v>
      </c>
      <c r="V88" s="86" t="s">
        <v>27</v>
      </c>
      <c r="W88" s="47" t="s">
        <v>172</v>
      </c>
      <c r="X88" s="21">
        <v>7.6</v>
      </c>
      <c r="Y88" s="107" t="s">
        <v>49</v>
      </c>
    </row>
    <row r="89" spans="1:25" ht="18.75" customHeight="1">
      <c r="A89" s="17">
        <v>83</v>
      </c>
      <c r="B89" s="14" t="s">
        <v>173</v>
      </c>
      <c r="C89" s="40">
        <v>2</v>
      </c>
      <c r="D89" s="20">
        <v>8.5</v>
      </c>
      <c r="E89" s="41">
        <f>3/2</f>
        <v>1.5</v>
      </c>
      <c r="F89" s="42">
        <v>3</v>
      </c>
      <c r="G89" s="33">
        <v>50</v>
      </c>
      <c r="H89" s="43">
        <v>1</v>
      </c>
      <c r="I89" s="42">
        <v>1</v>
      </c>
      <c r="J89" s="30">
        <v>100</v>
      </c>
      <c r="K89" s="41">
        <f>5/2</f>
        <v>2.5</v>
      </c>
      <c r="L89" s="42">
        <v>3</v>
      </c>
      <c r="M89" s="36">
        <v>83.3</v>
      </c>
      <c r="N89" s="43">
        <v>1.5</v>
      </c>
      <c r="O89" s="44">
        <v>1.5</v>
      </c>
      <c r="P89" s="45">
        <v>3</v>
      </c>
      <c r="Q89" s="40">
        <v>0</v>
      </c>
      <c r="R89" s="72">
        <v>0</v>
      </c>
      <c r="S89" s="41">
        <v>2</v>
      </c>
      <c r="T89" s="88">
        <v>0.5</v>
      </c>
      <c r="U89" s="43">
        <v>3.5</v>
      </c>
      <c r="V89" s="85" t="s">
        <v>27</v>
      </c>
      <c r="W89" s="40" t="s">
        <v>174</v>
      </c>
      <c r="X89" s="20">
        <v>7</v>
      </c>
      <c r="Y89" s="108" t="s">
        <v>29</v>
      </c>
    </row>
    <row r="90" spans="1:25" ht="18.75" customHeight="1">
      <c r="A90" s="16">
        <v>84</v>
      </c>
      <c r="B90" s="9" t="s">
        <v>175</v>
      </c>
      <c r="C90" s="47">
        <v>5</v>
      </c>
      <c r="D90" s="22">
        <v>7.6</v>
      </c>
      <c r="E90" s="48">
        <f>13/5</f>
        <v>2.6</v>
      </c>
      <c r="F90" s="49">
        <f>33/5</f>
        <v>6.6</v>
      </c>
      <c r="G90" s="35">
        <v>39.4</v>
      </c>
      <c r="H90" s="50">
        <f>3/5</f>
        <v>0.6</v>
      </c>
      <c r="I90" s="49">
        <f>13/5</f>
        <v>2.6</v>
      </c>
      <c r="J90" s="27">
        <v>23.1</v>
      </c>
      <c r="K90" s="48">
        <f>3/5</f>
        <v>0.6</v>
      </c>
      <c r="L90" s="49">
        <f>9/5</f>
        <v>1.8</v>
      </c>
      <c r="M90" s="34">
        <v>33.299999999999997</v>
      </c>
      <c r="N90" s="54">
        <v>7.4</v>
      </c>
      <c r="O90" s="53">
        <v>2.6</v>
      </c>
      <c r="P90" s="51">
        <v>7.4</v>
      </c>
      <c r="Q90" s="81">
        <v>1.8</v>
      </c>
      <c r="R90" s="74">
        <v>0.2</v>
      </c>
      <c r="S90" s="55">
        <v>2.8</v>
      </c>
      <c r="T90" s="90">
        <v>0.2</v>
      </c>
      <c r="U90" s="54">
        <v>2.4</v>
      </c>
      <c r="V90" s="86" t="s">
        <v>27</v>
      </c>
      <c r="W90" s="47" t="s">
        <v>176</v>
      </c>
      <c r="X90" s="21">
        <v>6.6</v>
      </c>
      <c r="Y90" s="107" t="s">
        <v>49</v>
      </c>
    </row>
    <row r="91" spans="1:25" ht="18.75" customHeight="1">
      <c r="A91" s="17">
        <v>85</v>
      </c>
      <c r="B91" s="13" t="s">
        <v>177</v>
      </c>
      <c r="C91" s="40">
        <v>15</v>
      </c>
      <c r="D91" s="23">
        <v>9.3000000000000007</v>
      </c>
      <c r="E91" s="41">
        <f>18/15</f>
        <v>1.2</v>
      </c>
      <c r="F91" s="42">
        <f>45/15</f>
        <v>3</v>
      </c>
      <c r="G91" s="33">
        <v>40</v>
      </c>
      <c r="H91" s="43">
        <f>28/15</f>
        <v>1.8666666666666667</v>
      </c>
      <c r="I91" s="42">
        <f>74/15</f>
        <v>4.9333333333333336</v>
      </c>
      <c r="J91" s="26">
        <v>37.799999999999997</v>
      </c>
      <c r="K91" s="41">
        <f>20/15</f>
        <v>1.3333333333333333</v>
      </c>
      <c r="L91" s="42">
        <f>27/15</f>
        <v>1.8</v>
      </c>
      <c r="M91" s="33">
        <v>74.099999999999994</v>
      </c>
      <c r="N91" s="57">
        <v>1.1000000000000001</v>
      </c>
      <c r="O91" s="42">
        <v>0.2</v>
      </c>
      <c r="P91" s="45">
        <v>1.3</v>
      </c>
      <c r="Q91" s="40">
        <v>1.6</v>
      </c>
      <c r="R91" s="72">
        <v>0.1</v>
      </c>
      <c r="S91" s="46">
        <v>1.4</v>
      </c>
      <c r="T91" s="91">
        <v>0.7</v>
      </c>
      <c r="U91" s="57">
        <v>1.1000000000000001</v>
      </c>
      <c r="V91" s="85" t="s">
        <v>27</v>
      </c>
      <c r="W91" s="40" t="s">
        <v>178</v>
      </c>
      <c r="X91" s="23">
        <v>6.5</v>
      </c>
      <c r="Y91" s="108" t="s">
        <v>36</v>
      </c>
    </row>
    <row r="92" spans="1:25" ht="18.75" customHeight="1">
      <c r="A92" s="16">
        <v>86</v>
      </c>
      <c r="B92" s="10" t="s">
        <v>179</v>
      </c>
      <c r="C92" s="47">
        <v>15</v>
      </c>
      <c r="D92" s="21">
        <v>6.7</v>
      </c>
      <c r="E92" s="48">
        <f>35/15</f>
        <v>2.3333333333333335</v>
      </c>
      <c r="F92" s="49">
        <f>70/15</f>
        <v>4.666666666666667</v>
      </c>
      <c r="G92" s="34">
        <v>50</v>
      </c>
      <c r="H92" s="56">
        <v>0</v>
      </c>
      <c r="I92" s="52">
        <v>0</v>
      </c>
      <c r="J92" s="29">
        <v>0</v>
      </c>
      <c r="K92" s="48">
        <f>31/15</f>
        <v>2.0666666666666669</v>
      </c>
      <c r="L92" s="49">
        <f>51/15</f>
        <v>3.4</v>
      </c>
      <c r="M92" s="35">
        <v>60.8</v>
      </c>
      <c r="N92" s="54">
        <v>1.5</v>
      </c>
      <c r="O92" s="53">
        <v>0.8</v>
      </c>
      <c r="P92" s="63">
        <v>2.2999999999999998</v>
      </c>
      <c r="Q92" s="47">
        <v>0.1</v>
      </c>
      <c r="R92" s="74">
        <v>0.9</v>
      </c>
      <c r="S92" s="55">
        <v>1.1000000000000001</v>
      </c>
      <c r="T92" s="90">
        <v>0.2</v>
      </c>
      <c r="U92" s="54">
        <v>1.5</v>
      </c>
      <c r="V92" s="86" t="s">
        <v>27</v>
      </c>
      <c r="W92" s="95" t="s">
        <v>180</v>
      </c>
      <c r="X92" s="21">
        <v>6.3</v>
      </c>
      <c r="Y92" s="107" t="s">
        <v>49</v>
      </c>
    </row>
    <row r="93" spans="1:25" ht="18.75" customHeight="1">
      <c r="A93" s="17">
        <v>87</v>
      </c>
      <c r="B93" s="14" t="s">
        <v>181</v>
      </c>
      <c r="C93" s="40">
        <v>7</v>
      </c>
      <c r="D93" s="20">
        <v>10</v>
      </c>
      <c r="E93" s="41">
        <f>15/7</f>
        <v>2.1428571428571428</v>
      </c>
      <c r="F93" s="42">
        <f>26/7</f>
        <v>3.7142857142857144</v>
      </c>
      <c r="G93" s="33">
        <v>57.7</v>
      </c>
      <c r="H93" s="43">
        <f>10/7</f>
        <v>1.4285714285714286</v>
      </c>
      <c r="I93" s="42">
        <f>30/7</f>
        <v>4.2857142857142856</v>
      </c>
      <c r="J93" s="26">
        <v>33.299999999999997</v>
      </c>
      <c r="K93" s="41">
        <f>10/7</f>
        <v>1.4285714285714286</v>
      </c>
      <c r="L93" s="42">
        <f>12/7</f>
        <v>1.7142857142857142</v>
      </c>
      <c r="M93" s="33">
        <v>83.3</v>
      </c>
      <c r="N93" s="57">
        <v>1.9</v>
      </c>
      <c r="O93" s="44">
        <v>0.4</v>
      </c>
      <c r="P93" s="45">
        <v>2.2999999999999998</v>
      </c>
      <c r="Q93" s="40">
        <v>0.7</v>
      </c>
      <c r="R93" s="72">
        <v>0</v>
      </c>
      <c r="S93" s="46">
        <v>1.7</v>
      </c>
      <c r="T93" s="91">
        <v>0.4</v>
      </c>
      <c r="U93" s="57">
        <v>2.1</v>
      </c>
      <c r="V93" s="85" t="s">
        <v>27</v>
      </c>
      <c r="W93" s="40" t="s">
        <v>182</v>
      </c>
      <c r="X93" s="20">
        <v>6</v>
      </c>
      <c r="Y93" s="108" t="s">
        <v>42</v>
      </c>
    </row>
    <row r="94" spans="1:25" ht="18.75" customHeight="1">
      <c r="A94" s="16">
        <v>88</v>
      </c>
      <c r="B94" s="9" t="s">
        <v>183</v>
      </c>
      <c r="C94" s="47">
        <v>30</v>
      </c>
      <c r="D94" s="21">
        <v>4.4000000000000004</v>
      </c>
      <c r="E94" s="48">
        <f>50/30</f>
        <v>1.6666666666666667</v>
      </c>
      <c r="F94" s="49">
        <f>89/30</f>
        <v>2.9666666666666668</v>
      </c>
      <c r="G94" s="35">
        <v>56.2</v>
      </c>
      <c r="H94" s="50">
        <v>0.1</v>
      </c>
      <c r="I94" s="49">
        <f>6/30</f>
        <v>0.2</v>
      </c>
      <c r="J94" s="27">
        <v>16.7</v>
      </c>
      <c r="K94" s="48">
        <f>29/30</f>
        <v>0.96666666666666667</v>
      </c>
      <c r="L94" s="49">
        <f>52/30</f>
        <v>1.7333333333333334</v>
      </c>
      <c r="M94" s="35">
        <v>55.8</v>
      </c>
      <c r="N94" s="50">
        <v>2</v>
      </c>
      <c r="O94" s="53">
        <v>1.5</v>
      </c>
      <c r="P94" s="51">
        <v>3.5</v>
      </c>
      <c r="Q94" s="47">
        <v>0.4</v>
      </c>
      <c r="R94" s="74">
        <v>0.5</v>
      </c>
      <c r="S94" s="48">
        <v>1</v>
      </c>
      <c r="T94" s="90">
        <v>0.4</v>
      </c>
      <c r="U94" s="54">
        <v>1.9</v>
      </c>
      <c r="V94" s="86" t="s">
        <v>27</v>
      </c>
      <c r="W94" s="47" t="s">
        <v>184</v>
      </c>
      <c r="X94" s="21">
        <v>5.5</v>
      </c>
      <c r="Y94" s="107" t="s">
        <v>49</v>
      </c>
    </row>
    <row r="95" spans="1:25" ht="18.75" customHeight="1">
      <c r="A95" s="17">
        <v>89</v>
      </c>
      <c r="B95" s="14" t="s">
        <v>185</v>
      </c>
      <c r="C95" s="40">
        <v>5</v>
      </c>
      <c r="D95" s="20">
        <v>8.8000000000000007</v>
      </c>
      <c r="E95" s="41">
        <f>13/5</f>
        <v>2.6</v>
      </c>
      <c r="F95" s="42">
        <f>30/5</f>
        <v>6</v>
      </c>
      <c r="G95" s="36">
        <v>43.3</v>
      </c>
      <c r="H95" s="43">
        <f>5/5</f>
        <v>1</v>
      </c>
      <c r="I95" s="42">
        <f>23/5</f>
        <v>4.5999999999999996</v>
      </c>
      <c r="J95" s="26">
        <v>21.7</v>
      </c>
      <c r="K95" s="41">
        <f>3/5</f>
        <v>0.6</v>
      </c>
      <c r="L95" s="42">
        <f>4/5</f>
        <v>0.8</v>
      </c>
      <c r="M95" s="33">
        <v>75</v>
      </c>
      <c r="N95" s="43">
        <v>3.2</v>
      </c>
      <c r="O95" s="42">
        <v>2</v>
      </c>
      <c r="P95" s="45">
        <v>5.2</v>
      </c>
      <c r="Q95" s="82">
        <v>1</v>
      </c>
      <c r="R95" s="79">
        <v>0</v>
      </c>
      <c r="S95" s="46">
        <v>1.6</v>
      </c>
      <c r="T95" s="91">
        <v>1.2</v>
      </c>
      <c r="U95" s="57">
        <v>2.4</v>
      </c>
      <c r="V95" s="85" t="s">
        <v>27</v>
      </c>
      <c r="W95" s="40" t="s">
        <v>186</v>
      </c>
      <c r="X95" s="20">
        <v>4.8</v>
      </c>
      <c r="Y95" s="108" t="s">
        <v>45</v>
      </c>
    </row>
    <row r="96" spans="1:25" ht="18.75" customHeight="1">
      <c r="A96" s="16">
        <v>90</v>
      </c>
      <c r="B96" s="9" t="s">
        <v>187</v>
      </c>
      <c r="C96" s="47">
        <v>23</v>
      </c>
      <c r="D96" s="21">
        <v>4.5999999999999996</v>
      </c>
      <c r="E96" s="48">
        <f>33/23</f>
        <v>1.4347826086956521</v>
      </c>
      <c r="F96" s="49">
        <f>64/23</f>
        <v>2.7826086956521738</v>
      </c>
      <c r="G96" s="35">
        <v>51.6</v>
      </c>
      <c r="H96" s="50">
        <f>8/23</f>
        <v>0.34782608695652173</v>
      </c>
      <c r="I96" s="49">
        <f>32/23</f>
        <v>1.3913043478260869</v>
      </c>
      <c r="J96" s="27">
        <v>25</v>
      </c>
      <c r="K96" s="48">
        <f>15/23</f>
        <v>0.65217391304347827</v>
      </c>
      <c r="L96" s="49">
        <f>25/23</f>
        <v>1.0869565217391304</v>
      </c>
      <c r="M96" s="34">
        <v>60</v>
      </c>
      <c r="N96" s="54">
        <v>2.9</v>
      </c>
      <c r="O96" s="53">
        <v>1.1000000000000001</v>
      </c>
      <c r="P96" s="51">
        <v>4</v>
      </c>
      <c r="Q96" s="47">
        <v>0.8</v>
      </c>
      <c r="R96" s="74">
        <v>0.1</v>
      </c>
      <c r="S96" s="48">
        <v>1.3</v>
      </c>
      <c r="T96" s="90">
        <v>0.3</v>
      </c>
      <c r="U96" s="54">
        <v>2.7</v>
      </c>
      <c r="V96" s="86" t="s">
        <v>27</v>
      </c>
      <c r="W96" s="47" t="s">
        <v>188</v>
      </c>
      <c r="X96" s="21">
        <v>4.8</v>
      </c>
      <c r="Y96" s="107" t="s">
        <v>42</v>
      </c>
    </row>
    <row r="97" spans="1:25" ht="18.75" customHeight="1">
      <c r="A97" s="17">
        <v>91</v>
      </c>
      <c r="B97" s="14" t="s">
        <v>189</v>
      </c>
      <c r="C97" s="40">
        <v>9</v>
      </c>
      <c r="D97" s="23">
        <v>3.6</v>
      </c>
      <c r="E97" s="41">
        <f>16/9</f>
        <v>1.7777777777777777</v>
      </c>
      <c r="F97" s="42">
        <f>35/9</f>
        <v>3.8888888888888888</v>
      </c>
      <c r="G97" s="36">
        <v>45.7</v>
      </c>
      <c r="H97" s="57">
        <v>0</v>
      </c>
      <c r="I97" s="44">
        <v>0</v>
      </c>
      <c r="J97" s="31">
        <v>0</v>
      </c>
      <c r="K97" s="46">
        <v>0</v>
      </c>
      <c r="L97" s="42">
        <f>6/9</f>
        <v>0.66666666666666663</v>
      </c>
      <c r="M97" s="36">
        <v>0</v>
      </c>
      <c r="N97" s="57">
        <v>2.2999999999999998</v>
      </c>
      <c r="O97" s="44">
        <v>1.4</v>
      </c>
      <c r="P97" s="61">
        <v>3.8</v>
      </c>
      <c r="Q97" s="82">
        <v>1</v>
      </c>
      <c r="R97" s="72">
        <v>0.6</v>
      </c>
      <c r="S97" s="46">
        <v>1.1000000000000001</v>
      </c>
      <c r="T97" s="91">
        <v>0.2</v>
      </c>
      <c r="U97" s="57">
        <v>2.1</v>
      </c>
      <c r="V97" s="85" t="s">
        <v>27</v>
      </c>
      <c r="W97" s="93" t="s">
        <v>190</v>
      </c>
      <c r="X97" s="23">
        <v>4.0999999999999996</v>
      </c>
      <c r="Y97" s="108" t="s">
        <v>49</v>
      </c>
    </row>
    <row r="98" spans="1:25" ht="18.75" customHeight="1">
      <c r="A98" s="16">
        <v>92</v>
      </c>
      <c r="B98" s="10" t="s">
        <v>191</v>
      </c>
      <c r="C98" s="47">
        <v>9</v>
      </c>
      <c r="D98" s="21">
        <v>6.2</v>
      </c>
      <c r="E98" s="48">
        <f>14/9</f>
        <v>1.5555555555555556</v>
      </c>
      <c r="F98" s="49">
        <f>17/9</f>
        <v>1.8888888888888888</v>
      </c>
      <c r="G98" s="34">
        <v>82.4</v>
      </c>
      <c r="H98" s="50">
        <f>8/9</f>
        <v>0.88888888888888884</v>
      </c>
      <c r="I98" s="49">
        <f>35/9</f>
        <v>3.8888888888888888</v>
      </c>
      <c r="J98" s="27">
        <v>22.9</v>
      </c>
      <c r="K98" s="48">
        <f>4/9</f>
        <v>0.44444444444444442</v>
      </c>
      <c r="L98" s="49">
        <v>0.4</v>
      </c>
      <c r="M98" s="38">
        <v>100</v>
      </c>
      <c r="N98" s="54">
        <v>2.4</v>
      </c>
      <c r="O98" s="53">
        <v>0.1</v>
      </c>
      <c r="P98" s="51">
        <v>2.6</v>
      </c>
      <c r="Q98" s="47">
        <v>0.3</v>
      </c>
      <c r="R98" s="76">
        <v>0.1</v>
      </c>
      <c r="S98" s="48">
        <v>0.9</v>
      </c>
      <c r="T98" s="90">
        <v>0.6</v>
      </c>
      <c r="U98" s="54">
        <v>2.2000000000000002</v>
      </c>
      <c r="V98" s="86" t="s">
        <v>27</v>
      </c>
      <c r="W98" s="47" t="s">
        <v>192</v>
      </c>
      <c r="X98" s="22">
        <v>4</v>
      </c>
      <c r="Y98" s="107" t="s">
        <v>29</v>
      </c>
    </row>
    <row r="99" spans="1:25" ht="18.75" customHeight="1">
      <c r="A99" s="17">
        <v>93</v>
      </c>
      <c r="B99" s="14" t="s">
        <v>193</v>
      </c>
      <c r="C99" s="40">
        <v>5</v>
      </c>
      <c r="D99" s="23">
        <v>4.8</v>
      </c>
      <c r="E99" s="41">
        <v>2</v>
      </c>
      <c r="F99" s="42">
        <f>22/5</f>
        <v>4.4000000000000004</v>
      </c>
      <c r="G99" s="36">
        <v>45.5</v>
      </c>
      <c r="H99" s="57">
        <v>0</v>
      </c>
      <c r="I99" s="44">
        <f>1/5</f>
        <v>0.2</v>
      </c>
      <c r="J99" s="31">
        <v>0</v>
      </c>
      <c r="K99" s="46">
        <f>4/5</f>
        <v>0.8</v>
      </c>
      <c r="L99" s="44">
        <f>7/5</f>
        <v>1.4</v>
      </c>
      <c r="M99" s="36">
        <v>57.1</v>
      </c>
      <c r="N99" s="57">
        <f>13/5</f>
        <v>2.6</v>
      </c>
      <c r="O99" s="44">
        <f>2/5</f>
        <v>0.4</v>
      </c>
      <c r="P99" s="45">
        <f>15/5</f>
        <v>3</v>
      </c>
      <c r="Q99" s="40">
        <v>0.6</v>
      </c>
      <c r="R99" s="72">
        <v>0.6</v>
      </c>
      <c r="S99" s="41">
        <v>1</v>
      </c>
      <c r="T99" s="91">
        <v>0</v>
      </c>
      <c r="U99" s="57">
        <v>2.4</v>
      </c>
      <c r="V99" s="85" t="s">
        <v>27</v>
      </c>
      <c r="W99" s="40" t="s">
        <v>194</v>
      </c>
      <c r="X99" s="23">
        <v>3.6</v>
      </c>
      <c r="Y99" s="108" t="s">
        <v>49</v>
      </c>
    </row>
    <row r="100" spans="1:25" ht="18.75" customHeight="1">
      <c r="A100" s="16">
        <v>94</v>
      </c>
      <c r="B100" s="9" t="s">
        <v>195</v>
      </c>
      <c r="C100" s="47">
        <v>5</v>
      </c>
      <c r="D100" s="21">
        <v>7.2</v>
      </c>
      <c r="E100" s="48">
        <f>12/5</f>
        <v>2.4</v>
      </c>
      <c r="F100" s="49">
        <f>23/5</f>
        <v>4.5999999999999996</v>
      </c>
      <c r="G100" s="35">
        <v>52.2</v>
      </c>
      <c r="H100" s="56">
        <f>1/5</f>
        <v>0.2</v>
      </c>
      <c r="I100" s="49">
        <f>8/5</f>
        <v>1.6</v>
      </c>
      <c r="J100" s="27">
        <v>12.5</v>
      </c>
      <c r="K100" s="48">
        <f>9/5</f>
        <v>1.8</v>
      </c>
      <c r="L100" s="49">
        <f>11/5</f>
        <v>2.2000000000000002</v>
      </c>
      <c r="M100" s="34">
        <v>81.8</v>
      </c>
      <c r="N100" s="50">
        <v>1</v>
      </c>
      <c r="O100" s="53">
        <v>0.2</v>
      </c>
      <c r="P100" s="51">
        <v>1.2</v>
      </c>
      <c r="Q100" s="81">
        <v>1.2</v>
      </c>
      <c r="R100" s="74">
        <v>0</v>
      </c>
      <c r="S100" s="55">
        <v>1.6</v>
      </c>
      <c r="T100" s="90">
        <v>0.6</v>
      </c>
      <c r="U100" s="54">
        <v>2.2000000000000002</v>
      </c>
      <c r="V100" s="86" t="s">
        <v>27</v>
      </c>
      <c r="W100" s="47" t="s">
        <v>196</v>
      </c>
      <c r="X100" s="21">
        <v>3.4</v>
      </c>
      <c r="Y100" s="107" t="s">
        <v>36</v>
      </c>
    </row>
    <row r="101" spans="1:25" ht="18.75" customHeight="1">
      <c r="A101" s="17">
        <v>95</v>
      </c>
      <c r="B101" s="13" t="s">
        <v>197</v>
      </c>
      <c r="C101" s="40">
        <v>11</v>
      </c>
      <c r="D101" s="23">
        <v>7.2</v>
      </c>
      <c r="E101" s="41">
        <f>16/11</f>
        <v>1.4545454545454546</v>
      </c>
      <c r="F101" s="42">
        <f>34/11</f>
        <v>3.0909090909090908</v>
      </c>
      <c r="G101" s="36">
        <v>47.1</v>
      </c>
      <c r="H101" s="43">
        <f>14/11</f>
        <v>1.2727272727272727</v>
      </c>
      <c r="I101" s="42">
        <f>46/11</f>
        <v>4.1818181818181817</v>
      </c>
      <c r="J101" s="26">
        <v>30.4</v>
      </c>
      <c r="K101" s="41">
        <f>5/11</f>
        <v>0.45454545454545453</v>
      </c>
      <c r="L101" s="42">
        <f>7/11</f>
        <v>0.63636363636363635</v>
      </c>
      <c r="M101" s="33">
        <v>71.400000000000006</v>
      </c>
      <c r="N101" s="57">
        <v>1.2</v>
      </c>
      <c r="O101" s="44">
        <v>0.3</v>
      </c>
      <c r="P101" s="45">
        <v>1.5</v>
      </c>
      <c r="Q101" s="40">
        <v>1.1000000000000001</v>
      </c>
      <c r="R101" s="72">
        <v>0.1</v>
      </c>
      <c r="S101" s="46">
        <v>1.8</v>
      </c>
      <c r="T101" s="91">
        <v>0.2</v>
      </c>
      <c r="U101" s="57">
        <v>1.1000000000000001</v>
      </c>
      <c r="V101" s="85" t="s">
        <v>27</v>
      </c>
      <c r="W101" s="40" t="s">
        <v>198</v>
      </c>
      <c r="X101" s="23">
        <v>3.3</v>
      </c>
      <c r="Y101" s="108" t="s">
        <v>42</v>
      </c>
    </row>
    <row r="102" spans="1:25" ht="18.75" customHeight="1">
      <c r="A102" s="16">
        <v>96</v>
      </c>
      <c r="B102" s="9" t="s">
        <v>199</v>
      </c>
      <c r="C102" s="47">
        <v>3</v>
      </c>
      <c r="D102" s="22">
        <v>3.7</v>
      </c>
      <c r="E102" s="65">
        <f>5/3</f>
        <v>1.6666666666666667</v>
      </c>
      <c r="F102" s="49">
        <f>11/3</f>
        <v>3.6666666666666665</v>
      </c>
      <c r="G102" s="34">
        <v>45.5</v>
      </c>
      <c r="H102" s="56">
        <v>0</v>
      </c>
      <c r="I102" s="49">
        <f>1/3</f>
        <v>0.33333333333333331</v>
      </c>
      <c r="J102" s="28">
        <v>0</v>
      </c>
      <c r="K102" s="48">
        <f>1/3</f>
        <v>0.33333333333333331</v>
      </c>
      <c r="L102" s="49">
        <v>0.3</v>
      </c>
      <c r="M102" s="38">
        <v>100</v>
      </c>
      <c r="N102" s="50">
        <v>2</v>
      </c>
      <c r="O102" s="53">
        <v>1.7</v>
      </c>
      <c r="P102" s="51">
        <v>3.7</v>
      </c>
      <c r="Q102" s="47">
        <v>0.7</v>
      </c>
      <c r="R102" s="74">
        <v>0</v>
      </c>
      <c r="S102" s="48">
        <v>1</v>
      </c>
      <c r="T102" s="89">
        <v>0.7</v>
      </c>
      <c r="U102" s="50">
        <v>2</v>
      </c>
      <c r="V102" s="86" t="s">
        <v>27</v>
      </c>
      <c r="W102" s="47" t="s">
        <v>200</v>
      </c>
      <c r="X102" s="22">
        <v>3</v>
      </c>
      <c r="Y102" s="107" t="s">
        <v>36</v>
      </c>
    </row>
    <row r="103" spans="1:25" ht="18.75" customHeight="1">
      <c r="A103" s="17">
        <v>97</v>
      </c>
      <c r="B103" s="14" t="s">
        <v>201</v>
      </c>
      <c r="C103" s="40">
        <v>1</v>
      </c>
      <c r="D103" s="20">
        <v>4</v>
      </c>
      <c r="E103" s="41">
        <v>1</v>
      </c>
      <c r="F103" s="42">
        <v>2</v>
      </c>
      <c r="G103" s="33">
        <v>50</v>
      </c>
      <c r="H103" s="43">
        <v>0</v>
      </c>
      <c r="I103" s="42">
        <v>1</v>
      </c>
      <c r="J103" s="26">
        <v>0</v>
      </c>
      <c r="K103" s="41">
        <v>2</v>
      </c>
      <c r="L103" s="42">
        <v>2</v>
      </c>
      <c r="M103" s="37">
        <v>100</v>
      </c>
      <c r="N103" s="43">
        <v>2</v>
      </c>
      <c r="O103" s="44">
        <v>0</v>
      </c>
      <c r="P103" s="45">
        <v>2</v>
      </c>
      <c r="Q103" s="40">
        <v>0</v>
      </c>
      <c r="R103" s="72">
        <v>0</v>
      </c>
      <c r="S103" s="41">
        <v>1</v>
      </c>
      <c r="T103" s="91">
        <v>0</v>
      </c>
      <c r="U103" s="43">
        <v>3</v>
      </c>
      <c r="V103" s="85" t="s">
        <v>27</v>
      </c>
      <c r="W103" s="40" t="s">
        <v>202</v>
      </c>
      <c r="X103" s="20">
        <v>2</v>
      </c>
      <c r="Y103" s="108" t="s">
        <v>49</v>
      </c>
    </row>
    <row r="104" spans="1:25" ht="18.75" customHeight="1">
      <c r="A104" s="16">
        <v>98</v>
      </c>
      <c r="B104" s="10" t="s">
        <v>203</v>
      </c>
      <c r="C104" s="47">
        <v>3</v>
      </c>
      <c r="D104" s="22">
        <v>1.3</v>
      </c>
      <c r="E104" s="65">
        <v>0</v>
      </c>
      <c r="F104" s="49">
        <v>1</v>
      </c>
      <c r="G104" s="35">
        <v>0</v>
      </c>
      <c r="H104" s="50">
        <f>1/3</f>
        <v>0.33333333333333331</v>
      </c>
      <c r="I104" s="49">
        <v>1</v>
      </c>
      <c r="J104" s="27">
        <v>33.299999999999997</v>
      </c>
      <c r="K104" s="48">
        <v>0.3</v>
      </c>
      <c r="L104" s="49">
        <f>2/3</f>
        <v>0.66666666666666663</v>
      </c>
      <c r="M104" s="34">
        <v>50</v>
      </c>
      <c r="N104" s="50">
        <v>0.3</v>
      </c>
      <c r="O104" s="53">
        <v>0</v>
      </c>
      <c r="P104" s="51">
        <v>0.3</v>
      </c>
      <c r="Q104" s="47">
        <v>2.2999999999999998</v>
      </c>
      <c r="R104" s="74">
        <v>0</v>
      </c>
      <c r="S104" s="48">
        <v>1</v>
      </c>
      <c r="T104" s="90">
        <v>0.3</v>
      </c>
      <c r="U104" s="54">
        <v>0.7</v>
      </c>
      <c r="V104" s="86" t="s">
        <v>27</v>
      </c>
      <c r="W104" s="47" t="s">
        <v>204</v>
      </c>
      <c r="X104" s="22">
        <v>1</v>
      </c>
      <c r="Y104" s="107" t="s">
        <v>45</v>
      </c>
    </row>
    <row r="105" spans="1:25" ht="18.75" customHeight="1">
      <c r="A105" s="17">
        <v>99</v>
      </c>
      <c r="B105" s="13" t="s">
        <v>205</v>
      </c>
      <c r="C105" s="40">
        <v>7</v>
      </c>
      <c r="D105" s="23">
        <v>0.3</v>
      </c>
      <c r="E105" s="41">
        <f>1/7</f>
        <v>0.14285714285714285</v>
      </c>
      <c r="F105" s="42">
        <f>10/7</f>
        <v>1.4285714285714286</v>
      </c>
      <c r="G105" s="37">
        <v>0</v>
      </c>
      <c r="H105" s="59">
        <v>0</v>
      </c>
      <c r="I105" s="64">
        <v>0</v>
      </c>
      <c r="J105" s="30">
        <v>0</v>
      </c>
      <c r="K105" s="66">
        <v>0</v>
      </c>
      <c r="L105" s="64">
        <v>0</v>
      </c>
      <c r="M105" s="37">
        <v>0</v>
      </c>
      <c r="N105" s="59">
        <v>0</v>
      </c>
      <c r="O105" s="42">
        <v>0</v>
      </c>
      <c r="P105" s="45">
        <v>0</v>
      </c>
      <c r="Q105" s="82">
        <v>0</v>
      </c>
      <c r="R105" s="79">
        <v>0</v>
      </c>
      <c r="S105" s="46">
        <v>0.1</v>
      </c>
      <c r="T105" s="91">
        <v>0</v>
      </c>
      <c r="U105" s="43">
        <v>0.1</v>
      </c>
      <c r="V105" s="85" t="s">
        <v>27</v>
      </c>
      <c r="W105" s="40" t="s">
        <v>206</v>
      </c>
      <c r="X105" s="23">
        <v>0</v>
      </c>
      <c r="Y105" s="108" t="s">
        <v>49</v>
      </c>
    </row>
    <row r="106" spans="1:25" ht="18.75" customHeight="1">
      <c r="A106" s="16">
        <v>100</v>
      </c>
      <c r="B106" s="10" t="s">
        <v>207</v>
      </c>
      <c r="C106" s="47">
        <v>2</v>
      </c>
      <c r="D106" s="22">
        <v>7.5</v>
      </c>
      <c r="E106" s="65">
        <v>0</v>
      </c>
      <c r="F106" s="49">
        <f>1/2</f>
        <v>0.5</v>
      </c>
      <c r="G106" s="38">
        <v>0</v>
      </c>
      <c r="H106" s="50">
        <f>5/2</f>
        <v>2.5</v>
      </c>
      <c r="I106" s="49">
        <f>16/2</f>
        <v>8</v>
      </c>
      <c r="J106" s="27">
        <v>31.3</v>
      </c>
      <c r="K106" s="48">
        <v>0</v>
      </c>
      <c r="L106" s="49">
        <v>0.5</v>
      </c>
      <c r="M106" s="38">
        <v>0</v>
      </c>
      <c r="N106" s="50">
        <v>2</v>
      </c>
      <c r="O106" s="49">
        <v>1</v>
      </c>
      <c r="P106" s="51">
        <v>3</v>
      </c>
      <c r="Q106" s="47">
        <v>0.5</v>
      </c>
      <c r="R106" s="74">
        <v>0</v>
      </c>
      <c r="S106" s="48">
        <v>2.5</v>
      </c>
      <c r="T106" s="90">
        <v>0.5</v>
      </c>
      <c r="U106" s="50">
        <v>3</v>
      </c>
      <c r="V106" s="86" t="s">
        <v>27</v>
      </c>
      <c r="W106" s="47" t="s">
        <v>117</v>
      </c>
      <c r="X106" s="22">
        <v>0</v>
      </c>
      <c r="Y106" s="107" t="s">
        <v>36</v>
      </c>
    </row>
    <row r="107" spans="1:25" ht="18.75" customHeight="1">
      <c r="A107" s="18">
        <v>101</v>
      </c>
      <c r="B107" s="19" t="s">
        <v>208</v>
      </c>
      <c r="C107" s="97">
        <v>1</v>
      </c>
      <c r="D107" s="24">
        <v>6</v>
      </c>
      <c r="E107" s="98">
        <v>3</v>
      </c>
      <c r="F107" s="68">
        <v>5</v>
      </c>
      <c r="G107" s="99">
        <v>60</v>
      </c>
      <c r="H107" s="67">
        <v>0</v>
      </c>
      <c r="I107" s="68">
        <v>3</v>
      </c>
      <c r="J107" s="32">
        <v>0</v>
      </c>
      <c r="K107" s="100">
        <v>0</v>
      </c>
      <c r="L107" s="70">
        <v>0</v>
      </c>
      <c r="M107" s="101">
        <v>0</v>
      </c>
      <c r="N107" s="69">
        <v>1</v>
      </c>
      <c r="O107" s="70">
        <v>0</v>
      </c>
      <c r="P107" s="71">
        <v>1</v>
      </c>
      <c r="Q107" s="102">
        <v>0</v>
      </c>
      <c r="R107" s="80">
        <v>1</v>
      </c>
      <c r="S107" s="98">
        <v>4</v>
      </c>
      <c r="T107" s="103">
        <v>0</v>
      </c>
      <c r="U107" s="69">
        <v>1</v>
      </c>
      <c r="V107" s="87" t="s">
        <v>27</v>
      </c>
      <c r="W107" s="97" t="s">
        <v>209</v>
      </c>
      <c r="X107" s="92">
        <v>0</v>
      </c>
      <c r="Y107" s="109" t="s">
        <v>42</v>
      </c>
    </row>
    <row r="108" spans="1:25" ht="18.75" customHeight="1"/>
    <row r="109" spans="1:25" ht="18.75" customHeight="1"/>
  </sheetData>
  <mergeCells count="18">
    <mergeCell ref="U5:V5"/>
    <mergeCell ref="A5:B6"/>
    <mergeCell ref="W5:W6"/>
    <mergeCell ref="X5:X6"/>
    <mergeCell ref="A1:B4"/>
    <mergeCell ref="T1:Y4"/>
    <mergeCell ref="C1:S2"/>
    <mergeCell ref="C3:S4"/>
    <mergeCell ref="C5:C6"/>
    <mergeCell ref="D5:D6"/>
    <mergeCell ref="E5:G5"/>
    <mergeCell ref="H5:J5"/>
    <mergeCell ref="Y5:Y6"/>
    <mergeCell ref="K5:M5"/>
    <mergeCell ref="N5:P5"/>
    <mergeCell ref="Q5:Q6"/>
    <mergeCell ref="R5:R6"/>
    <mergeCell ref="S5:T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spartans</dc:creator>
  <cp:keywords/>
  <dc:description/>
  <cp:lastModifiedBy>Leo Hiriart</cp:lastModifiedBy>
  <cp:revision/>
  <dcterms:created xsi:type="dcterms:W3CDTF">2023-01-25T14:05:14Z</dcterms:created>
  <dcterms:modified xsi:type="dcterms:W3CDTF">2023-01-25T19:21:27Z</dcterms:modified>
  <cp:category/>
  <cp:contentStatus/>
</cp:coreProperties>
</file>