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artans\Desktop\"/>
    </mc:Choice>
  </mc:AlternateContent>
  <xr:revisionPtr revIDLastSave="0" documentId="8_{E2C09D12-70B6-48CD-A97A-ACADBAB19B8D}" xr6:coauthVersionLast="47" xr6:coauthVersionMax="47" xr10:uidLastSave="{00000000-0000-0000-0000-000000000000}"/>
  <bookViews>
    <workbookView xWindow="-120" yWindow="-120" windowWidth="20730" windowHeight="11160" firstSheet="5" activeTab="5" xr2:uid="{04F257AC-24B1-4BFD-80A3-D4D81C7F2FCB}"/>
  </bookViews>
  <sheets>
    <sheet name="BASE" sheetId="1" r:id="rId1"/>
    <sheet name="ESCOLTA" sheetId="2" r:id="rId2"/>
    <sheet name="ALERO" sheetId="3" r:id="rId3"/>
    <sheet name="ALA-PIVOT" sheetId="4" r:id="rId4"/>
    <sheet name="PIVOT" sheetId="5" r:id="rId5"/>
    <sheet name="U23" sheetId="6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5" i="6" l="1"/>
  <c r="N25" i="6"/>
  <c r="L25" i="6"/>
  <c r="K25" i="6"/>
  <c r="H25" i="6"/>
  <c r="O24" i="6"/>
  <c r="N24" i="6"/>
  <c r="L24" i="6"/>
  <c r="I24" i="6"/>
  <c r="H24" i="6"/>
  <c r="O23" i="6"/>
  <c r="N23" i="6"/>
  <c r="L23" i="6"/>
  <c r="K23" i="6"/>
  <c r="I23" i="6"/>
  <c r="H23" i="6"/>
  <c r="O22" i="6"/>
  <c r="N22" i="6"/>
  <c r="L22" i="6"/>
  <c r="K22" i="6"/>
  <c r="H22" i="6"/>
  <c r="O21" i="6"/>
  <c r="N21" i="6"/>
  <c r="L21" i="6"/>
  <c r="K21" i="6"/>
  <c r="I21" i="6"/>
  <c r="H21" i="6"/>
  <c r="O20" i="6"/>
  <c r="N20" i="6"/>
  <c r="L20" i="6"/>
  <c r="I20" i="6"/>
  <c r="H20" i="6"/>
  <c r="O19" i="6"/>
  <c r="N19" i="6"/>
  <c r="L19" i="6"/>
  <c r="K19" i="6"/>
  <c r="I19" i="6"/>
  <c r="H19" i="6"/>
  <c r="N18" i="6"/>
  <c r="L18" i="6"/>
  <c r="K18" i="6"/>
  <c r="I18" i="6"/>
  <c r="H18" i="6"/>
  <c r="O17" i="6"/>
  <c r="N17" i="6"/>
  <c r="L17" i="6"/>
  <c r="K17" i="6"/>
  <c r="I17" i="6"/>
  <c r="H17" i="6"/>
  <c r="O16" i="6"/>
  <c r="N16" i="6"/>
  <c r="K16" i="6"/>
  <c r="I16" i="6"/>
  <c r="H16" i="6"/>
  <c r="O15" i="6"/>
  <c r="N15" i="6"/>
  <c r="L15" i="6"/>
  <c r="K15" i="6"/>
  <c r="I15" i="6"/>
  <c r="H15" i="6"/>
  <c r="O14" i="6"/>
  <c r="N14" i="6"/>
  <c r="L14" i="6"/>
  <c r="K14" i="6"/>
  <c r="I14" i="6"/>
  <c r="H14" i="6"/>
  <c r="O13" i="6"/>
  <c r="N13" i="6"/>
  <c r="L13" i="6"/>
  <c r="K13" i="6"/>
  <c r="I13" i="6"/>
  <c r="H13" i="6"/>
  <c r="O12" i="6"/>
  <c r="N12" i="6"/>
  <c r="L12" i="6"/>
  <c r="K12" i="6"/>
  <c r="I12" i="6"/>
  <c r="H12" i="6"/>
  <c r="O11" i="6"/>
  <c r="N11" i="6"/>
  <c r="L11" i="6"/>
  <c r="K11" i="6"/>
  <c r="I11" i="6"/>
  <c r="H11" i="6"/>
  <c r="O10" i="6"/>
  <c r="N10" i="6"/>
  <c r="L10" i="6"/>
  <c r="K10" i="6"/>
  <c r="I10" i="6"/>
  <c r="H10" i="6"/>
  <c r="O9" i="6"/>
  <c r="N9" i="6"/>
  <c r="L9" i="6"/>
  <c r="K9" i="6"/>
  <c r="I9" i="6"/>
  <c r="H9" i="6"/>
  <c r="N8" i="6"/>
  <c r="L8" i="6"/>
  <c r="K8" i="6"/>
  <c r="I8" i="6"/>
  <c r="H8" i="6"/>
  <c r="O7" i="6"/>
  <c r="N7" i="6"/>
  <c r="L7" i="6"/>
  <c r="K7" i="6"/>
  <c r="I7" i="6"/>
  <c r="H7" i="6"/>
  <c r="N26" i="5"/>
  <c r="M26" i="5"/>
  <c r="K26" i="5"/>
  <c r="H26" i="5"/>
  <c r="G26" i="5"/>
  <c r="N25" i="5"/>
  <c r="M25" i="5"/>
  <c r="H25" i="5"/>
  <c r="G25" i="5"/>
  <c r="N24" i="5"/>
  <c r="M24" i="5"/>
  <c r="K24" i="5"/>
  <c r="J24" i="5"/>
  <c r="H24" i="5"/>
  <c r="G24" i="5"/>
  <c r="N23" i="5"/>
  <c r="M23" i="5"/>
  <c r="H23" i="5"/>
  <c r="G23" i="5"/>
  <c r="N22" i="5"/>
  <c r="M22" i="5"/>
  <c r="H22" i="5"/>
  <c r="G22" i="5"/>
  <c r="N21" i="5"/>
  <c r="M21" i="5"/>
  <c r="K21" i="5"/>
  <c r="H21" i="5"/>
  <c r="G21" i="5"/>
  <c r="N20" i="5"/>
  <c r="M20" i="5"/>
  <c r="K20" i="5"/>
  <c r="J20" i="5"/>
  <c r="H20" i="5"/>
  <c r="G20" i="5"/>
  <c r="N19" i="5"/>
  <c r="M19" i="5"/>
  <c r="H19" i="5"/>
  <c r="G19" i="5"/>
  <c r="N18" i="5"/>
  <c r="M18" i="5"/>
  <c r="K18" i="5"/>
  <c r="J18" i="5"/>
  <c r="H18" i="5"/>
  <c r="G18" i="5"/>
  <c r="N17" i="5"/>
  <c r="H17" i="5"/>
  <c r="G17" i="5"/>
  <c r="N16" i="5"/>
  <c r="M16" i="5"/>
  <c r="K16" i="5"/>
  <c r="J16" i="5"/>
  <c r="H16" i="5"/>
  <c r="G16" i="5"/>
  <c r="N15" i="5"/>
  <c r="M15" i="5"/>
  <c r="K15" i="5"/>
  <c r="J15" i="5"/>
  <c r="H15" i="5"/>
  <c r="G15" i="5"/>
  <c r="N14" i="5"/>
  <c r="M14" i="5"/>
  <c r="K14" i="5"/>
  <c r="H14" i="5"/>
  <c r="G14" i="5"/>
  <c r="N13" i="5"/>
  <c r="M13" i="5"/>
  <c r="K13" i="5"/>
  <c r="J13" i="5"/>
  <c r="H13" i="5"/>
  <c r="G13" i="5"/>
  <c r="N12" i="5"/>
  <c r="M12" i="5"/>
  <c r="K12" i="5"/>
  <c r="J12" i="5"/>
  <c r="H12" i="5"/>
  <c r="G12" i="5"/>
  <c r="N11" i="5"/>
  <c r="M11" i="5"/>
  <c r="K11" i="5"/>
  <c r="J11" i="5"/>
  <c r="H11" i="5"/>
  <c r="G11" i="5"/>
  <c r="N10" i="5"/>
  <c r="M10" i="5"/>
  <c r="K10" i="5"/>
  <c r="H10" i="5"/>
  <c r="G10" i="5"/>
  <c r="N9" i="5"/>
  <c r="M9" i="5"/>
  <c r="K9" i="5"/>
  <c r="J9" i="5"/>
  <c r="H9" i="5"/>
  <c r="G9" i="5"/>
  <c r="N8" i="5"/>
  <c r="M8" i="5"/>
  <c r="K8" i="5"/>
  <c r="J8" i="5"/>
  <c r="H8" i="5"/>
  <c r="G8" i="5"/>
  <c r="N7" i="5"/>
  <c r="M7" i="5"/>
  <c r="K7" i="5"/>
  <c r="J7" i="5"/>
  <c r="H7" i="5"/>
  <c r="G7" i="5"/>
  <c r="N27" i="4"/>
  <c r="M27" i="4"/>
  <c r="K27" i="4"/>
  <c r="J27" i="4"/>
  <c r="H27" i="4"/>
  <c r="G27" i="4"/>
  <c r="J26" i="4"/>
  <c r="N25" i="4"/>
  <c r="M25" i="4"/>
  <c r="K25" i="4"/>
  <c r="J25" i="4"/>
  <c r="H25" i="4"/>
  <c r="G25" i="4"/>
  <c r="M28" i="3"/>
  <c r="K28" i="3"/>
  <c r="J28" i="3"/>
  <c r="H28" i="3"/>
  <c r="G28" i="3"/>
  <c r="N24" i="4"/>
  <c r="M24" i="4"/>
  <c r="K24" i="4"/>
  <c r="J24" i="4"/>
  <c r="H24" i="4"/>
  <c r="G24" i="4"/>
  <c r="N23" i="4"/>
  <c r="M23" i="4"/>
  <c r="K23" i="4"/>
  <c r="J23" i="4"/>
  <c r="H23" i="4"/>
  <c r="G23" i="4"/>
  <c r="N22" i="4"/>
  <c r="M22" i="4"/>
  <c r="K22" i="4"/>
  <c r="J22" i="4"/>
  <c r="H22" i="4"/>
  <c r="G22" i="4"/>
  <c r="N21" i="4"/>
  <c r="M21" i="4"/>
  <c r="K21" i="4"/>
  <c r="J21" i="4"/>
  <c r="H21" i="4"/>
  <c r="G21" i="4"/>
  <c r="N20" i="4"/>
  <c r="M20" i="4"/>
  <c r="K20" i="4"/>
  <c r="H20" i="4"/>
  <c r="G20" i="4"/>
  <c r="N19" i="4"/>
  <c r="M19" i="4"/>
  <c r="K19" i="4"/>
  <c r="J19" i="4"/>
  <c r="H19" i="4"/>
  <c r="G19" i="4"/>
  <c r="N18" i="4"/>
  <c r="M18" i="4"/>
  <c r="K18" i="4"/>
  <c r="J18" i="4"/>
  <c r="H18" i="4"/>
  <c r="G18" i="4"/>
  <c r="N17" i="4"/>
  <c r="M17" i="4"/>
  <c r="K17" i="4"/>
  <c r="J17" i="4"/>
  <c r="H17" i="4"/>
  <c r="G17" i="4"/>
  <c r="N16" i="4"/>
  <c r="M16" i="4"/>
  <c r="K16" i="4"/>
  <c r="J16" i="4"/>
  <c r="H16" i="4"/>
  <c r="G16" i="4"/>
  <c r="N15" i="4"/>
  <c r="M15" i="4"/>
  <c r="K15" i="4"/>
  <c r="J15" i="4"/>
  <c r="H15" i="4"/>
  <c r="G15" i="4"/>
  <c r="N14" i="4"/>
  <c r="M14" i="4"/>
  <c r="K14" i="4"/>
  <c r="J14" i="4"/>
  <c r="H14" i="4"/>
  <c r="G14" i="4"/>
  <c r="N13" i="4"/>
  <c r="M13" i="4"/>
  <c r="K13" i="4"/>
  <c r="J13" i="4"/>
  <c r="H13" i="4"/>
  <c r="G13" i="4"/>
  <c r="N12" i="4"/>
  <c r="M12" i="4"/>
  <c r="K12" i="4"/>
  <c r="J12" i="4"/>
  <c r="H12" i="4"/>
  <c r="G12" i="4"/>
  <c r="N11" i="4"/>
  <c r="M11" i="4"/>
  <c r="J11" i="4"/>
  <c r="H11" i="4"/>
  <c r="G11" i="4"/>
  <c r="N10" i="4"/>
  <c r="M10" i="4"/>
  <c r="K10" i="4"/>
  <c r="J10" i="4"/>
  <c r="H10" i="4"/>
  <c r="G10" i="4"/>
  <c r="N9" i="4"/>
  <c r="M9" i="4"/>
  <c r="K9" i="4"/>
  <c r="J9" i="4"/>
  <c r="H9" i="4"/>
  <c r="G9" i="4"/>
  <c r="N8" i="4"/>
  <c r="M8" i="4"/>
  <c r="K8" i="4"/>
  <c r="H8" i="4"/>
  <c r="G8" i="4"/>
  <c r="N7" i="4"/>
  <c r="M7" i="4"/>
  <c r="K7" i="4"/>
  <c r="J7" i="4"/>
  <c r="H7" i="4"/>
  <c r="G7" i="4"/>
  <c r="N27" i="3"/>
  <c r="M27" i="3"/>
  <c r="K27" i="3"/>
  <c r="J27" i="3"/>
  <c r="H27" i="3"/>
  <c r="G27" i="3"/>
  <c r="N26" i="3"/>
  <c r="M26" i="3"/>
  <c r="K26" i="3"/>
  <c r="J26" i="3"/>
  <c r="H26" i="3"/>
  <c r="G26" i="3"/>
  <c r="N25" i="3"/>
  <c r="M25" i="3"/>
  <c r="K25" i="3"/>
  <c r="H25" i="3"/>
  <c r="G25" i="3"/>
  <c r="N23" i="3"/>
  <c r="M23" i="3"/>
  <c r="K23" i="3"/>
  <c r="J23" i="3"/>
  <c r="H23" i="3"/>
  <c r="G23" i="3"/>
  <c r="N22" i="3"/>
  <c r="M22" i="3"/>
  <c r="K22" i="3"/>
  <c r="J22" i="3"/>
  <c r="H22" i="3"/>
  <c r="G22" i="3"/>
  <c r="N21" i="3"/>
  <c r="M21" i="3"/>
  <c r="K21" i="3"/>
  <c r="J21" i="3"/>
  <c r="H21" i="3"/>
  <c r="G21" i="3"/>
  <c r="N20" i="3"/>
  <c r="M20" i="3"/>
  <c r="K20" i="3"/>
  <c r="J20" i="3"/>
  <c r="H20" i="3"/>
  <c r="G20" i="3"/>
  <c r="N19" i="3"/>
  <c r="M19" i="3"/>
  <c r="K19" i="3"/>
  <c r="J19" i="3"/>
  <c r="H19" i="3"/>
  <c r="G19" i="3"/>
  <c r="N18" i="3"/>
  <c r="M18" i="3"/>
  <c r="H18" i="3"/>
  <c r="G18" i="3"/>
  <c r="N17" i="3"/>
  <c r="M17" i="3"/>
  <c r="K17" i="3"/>
  <c r="J17" i="3"/>
  <c r="H17" i="3"/>
  <c r="G17" i="3"/>
  <c r="N16" i="3"/>
  <c r="M16" i="3"/>
  <c r="K16" i="3"/>
  <c r="J16" i="3"/>
  <c r="H16" i="3"/>
  <c r="G16" i="3"/>
  <c r="N15" i="3"/>
  <c r="M15" i="3"/>
  <c r="K15" i="3"/>
  <c r="J15" i="3"/>
  <c r="H15" i="3"/>
  <c r="G15" i="3"/>
  <c r="N14" i="3"/>
  <c r="M14" i="3"/>
  <c r="K14" i="3"/>
  <c r="J14" i="3"/>
  <c r="H14" i="3"/>
  <c r="G14" i="3"/>
  <c r="N13" i="3"/>
  <c r="M13" i="3"/>
  <c r="K13" i="3"/>
  <c r="J13" i="3"/>
  <c r="H13" i="3"/>
  <c r="G13" i="3"/>
  <c r="N12" i="3"/>
  <c r="M12" i="3"/>
  <c r="K12" i="3"/>
  <c r="J12" i="3"/>
  <c r="H12" i="3"/>
  <c r="G12" i="3"/>
  <c r="N11" i="3"/>
  <c r="M11" i="3"/>
  <c r="K11" i="3"/>
  <c r="J11" i="3"/>
  <c r="H11" i="3"/>
  <c r="G11" i="3"/>
  <c r="N10" i="3"/>
  <c r="M10" i="3"/>
  <c r="K10" i="3"/>
  <c r="J10" i="3"/>
  <c r="H10" i="3"/>
  <c r="G10" i="3"/>
  <c r="N9" i="3"/>
  <c r="M9" i="3"/>
  <c r="K9" i="3"/>
  <c r="J9" i="3"/>
  <c r="H9" i="3"/>
  <c r="G9" i="3"/>
  <c r="N8" i="3"/>
  <c r="M8" i="3"/>
  <c r="K8" i="3"/>
  <c r="H8" i="3"/>
  <c r="G8" i="3"/>
  <c r="N7" i="3"/>
  <c r="M7" i="3"/>
  <c r="K7" i="3"/>
  <c r="J7" i="3"/>
  <c r="H7" i="3"/>
  <c r="G7" i="3"/>
  <c r="N26" i="2"/>
  <c r="M26" i="2"/>
  <c r="K26" i="2"/>
  <c r="J26" i="2"/>
  <c r="H26" i="2"/>
  <c r="G26" i="2"/>
  <c r="N25" i="2"/>
  <c r="M25" i="2"/>
  <c r="K25" i="2"/>
  <c r="J25" i="2"/>
  <c r="H25" i="2"/>
  <c r="G25" i="2"/>
  <c r="N24" i="2"/>
  <c r="M24" i="2"/>
  <c r="K24" i="2"/>
  <c r="J24" i="2"/>
  <c r="H24" i="2"/>
  <c r="G24" i="2"/>
  <c r="N23" i="2"/>
  <c r="M23" i="2"/>
  <c r="K23" i="2"/>
  <c r="J23" i="2"/>
  <c r="H23" i="2"/>
  <c r="G23" i="2"/>
  <c r="N22" i="2"/>
  <c r="M22" i="2"/>
  <c r="K22" i="2"/>
  <c r="J22" i="2"/>
  <c r="H22" i="2"/>
  <c r="G22" i="2"/>
  <c r="N21" i="2"/>
  <c r="M21" i="2"/>
  <c r="K21" i="2"/>
  <c r="J21" i="2"/>
  <c r="H21" i="2"/>
  <c r="G21" i="2"/>
  <c r="N20" i="2"/>
  <c r="M20" i="2"/>
  <c r="K20" i="2"/>
  <c r="J20" i="2"/>
  <c r="H20" i="2"/>
  <c r="G20" i="2"/>
  <c r="N19" i="2"/>
  <c r="M19" i="2"/>
  <c r="K19" i="2"/>
  <c r="J19" i="2"/>
  <c r="H19" i="2"/>
  <c r="G19" i="2"/>
  <c r="N18" i="2"/>
  <c r="M18" i="2"/>
  <c r="K18" i="2"/>
  <c r="J18" i="2"/>
  <c r="H18" i="2"/>
  <c r="G18" i="2"/>
  <c r="N17" i="2"/>
  <c r="M17" i="2"/>
  <c r="K17" i="2"/>
  <c r="J17" i="2"/>
  <c r="H17" i="2"/>
  <c r="G17" i="2"/>
  <c r="N16" i="2"/>
  <c r="M16" i="2"/>
  <c r="K16" i="2"/>
  <c r="J16" i="2"/>
  <c r="H16" i="2"/>
  <c r="G16" i="2"/>
  <c r="N15" i="2"/>
  <c r="M15" i="2"/>
  <c r="K15" i="2"/>
  <c r="J15" i="2"/>
  <c r="H15" i="2"/>
  <c r="G15" i="2"/>
  <c r="N14" i="2"/>
  <c r="M14" i="2"/>
  <c r="K14" i="2"/>
  <c r="J14" i="2"/>
  <c r="H14" i="2"/>
  <c r="G14" i="2"/>
  <c r="N13" i="2"/>
  <c r="M13" i="2"/>
  <c r="K13" i="2"/>
  <c r="J13" i="2"/>
  <c r="H13" i="2"/>
  <c r="G13" i="2"/>
  <c r="N12" i="2"/>
  <c r="M12" i="2"/>
  <c r="K12" i="2"/>
  <c r="J12" i="2"/>
  <c r="H12" i="2"/>
  <c r="G12" i="2"/>
  <c r="N11" i="2"/>
  <c r="M11" i="2"/>
  <c r="K11" i="2"/>
  <c r="J11" i="2"/>
  <c r="H11" i="2"/>
  <c r="G11" i="2"/>
  <c r="N10" i="2"/>
  <c r="M10" i="2"/>
  <c r="K10" i="2"/>
  <c r="J10" i="2"/>
  <c r="H10" i="2"/>
  <c r="G10" i="2"/>
  <c r="N9" i="2"/>
  <c r="M9" i="2"/>
  <c r="K9" i="2"/>
  <c r="J9" i="2"/>
  <c r="H9" i="2"/>
  <c r="G9" i="2"/>
  <c r="N8" i="2"/>
  <c r="M8" i="2"/>
  <c r="K8" i="2"/>
  <c r="J8" i="2"/>
  <c r="H8" i="2"/>
  <c r="G8" i="2"/>
  <c r="N7" i="2"/>
  <c r="M7" i="2"/>
  <c r="K7" i="2"/>
  <c r="J7" i="2"/>
  <c r="H7" i="2"/>
  <c r="G7" i="2"/>
  <c r="N27" i="1"/>
  <c r="M27" i="1"/>
  <c r="K27" i="1"/>
  <c r="J27" i="1"/>
  <c r="H27" i="1"/>
  <c r="G27" i="1"/>
  <c r="N26" i="1"/>
  <c r="M26" i="1"/>
  <c r="K26" i="1"/>
  <c r="J26" i="1"/>
  <c r="H26" i="1"/>
  <c r="G26" i="1"/>
  <c r="N25" i="1"/>
  <c r="M25" i="1"/>
  <c r="K25" i="1"/>
  <c r="J25" i="1"/>
  <c r="H25" i="1"/>
  <c r="G25" i="1"/>
  <c r="N24" i="1"/>
  <c r="M24" i="1"/>
  <c r="K24" i="1"/>
  <c r="J24" i="1"/>
  <c r="H24" i="1"/>
  <c r="G24" i="1"/>
  <c r="N23" i="1"/>
  <c r="M23" i="1"/>
  <c r="K23" i="1"/>
  <c r="H23" i="1"/>
  <c r="G23" i="1"/>
  <c r="M22" i="1"/>
  <c r="K22" i="1"/>
  <c r="J22" i="1"/>
  <c r="H22" i="1"/>
  <c r="G22" i="1"/>
  <c r="N21" i="1"/>
  <c r="M21" i="1"/>
  <c r="K21" i="1"/>
  <c r="J21" i="1"/>
  <c r="H21" i="1"/>
  <c r="G21" i="1"/>
  <c r="N20" i="1"/>
  <c r="M20" i="1"/>
  <c r="K20" i="1"/>
  <c r="J20" i="1"/>
  <c r="H20" i="1"/>
  <c r="G20" i="1"/>
  <c r="N19" i="1"/>
  <c r="M19" i="1"/>
  <c r="K19" i="1"/>
  <c r="J19" i="1"/>
  <c r="H19" i="1"/>
  <c r="G19" i="1"/>
  <c r="N18" i="1"/>
  <c r="M18" i="1"/>
  <c r="K18" i="1"/>
  <c r="J18" i="1"/>
  <c r="H18" i="1"/>
  <c r="G18" i="1"/>
  <c r="N17" i="1"/>
  <c r="M17" i="1"/>
  <c r="K17" i="1"/>
  <c r="J17" i="1"/>
  <c r="H17" i="1"/>
  <c r="G17" i="1"/>
  <c r="N16" i="1"/>
  <c r="M16" i="1"/>
  <c r="K16" i="1"/>
  <c r="J16" i="1"/>
  <c r="H16" i="1"/>
  <c r="G16" i="1"/>
  <c r="N15" i="1"/>
  <c r="M15" i="1"/>
  <c r="K15" i="1"/>
  <c r="J15" i="1"/>
  <c r="H15" i="1"/>
  <c r="G15" i="1"/>
  <c r="N14" i="1"/>
  <c r="M14" i="1"/>
  <c r="K14" i="1"/>
  <c r="J14" i="1"/>
  <c r="H14" i="1"/>
  <c r="G14" i="1"/>
  <c r="N13" i="1"/>
  <c r="M13" i="1"/>
  <c r="K13" i="1"/>
  <c r="J13" i="1"/>
  <c r="H13" i="1"/>
  <c r="G13" i="1"/>
  <c r="N12" i="1"/>
  <c r="M12" i="1"/>
  <c r="K12" i="1"/>
  <c r="J12" i="1"/>
  <c r="H12" i="1"/>
  <c r="G12" i="1"/>
  <c r="N11" i="1"/>
  <c r="M11" i="1"/>
  <c r="K11" i="1"/>
  <c r="J11" i="1"/>
  <c r="H11" i="1"/>
  <c r="G11" i="1"/>
  <c r="N10" i="1"/>
  <c r="M10" i="1"/>
  <c r="K10" i="1"/>
  <c r="J10" i="1"/>
  <c r="H10" i="1"/>
  <c r="G10" i="1"/>
  <c r="N9" i="1"/>
  <c r="M9" i="1"/>
  <c r="K9" i="1"/>
  <c r="J9" i="1"/>
  <c r="H9" i="1"/>
  <c r="G9" i="1"/>
  <c r="H8" i="1"/>
  <c r="G8" i="1"/>
  <c r="N7" i="1"/>
  <c r="M7" i="1"/>
  <c r="K7" i="1"/>
  <c r="J7" i="1"/>
  <c r="H7" i="1"/>
  <c r="G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X7" authorId="0" shapeId="0" xr:uid="{51986986-62F9-4562-8BE0-314A535839BC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8" authorId="0" shapeId="0" xr:uid="{08416BB8-8C42-455B-BB73-BC8C316ACC09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0" authorId="0" shapeId="0" xr:uid="{E2FE8C09-0602-4E1A-90B0-0FD7EE3EF156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1" authorId="0" shapeId="0" xr:uid="{DCA927DE-326A-4CE9-991A-7779461469A5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2" authorId="0" shapeId="0" xr:uid="{A116C806-1430-49A4-9260-AD935F07FBCE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6" authorId="0" shapeId="0" xr:uid="{D42C886E-FEF1-4CE4-BF3D-F485BA33755F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7" authorId="0" shapeId="0" xr:uid="{91F4ED5A-6920-42C9-8807-D1B227AC1A96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0" authorId="0" shapeId="0" xr:uid="{DF1C5C74-4D54-4287-886B-219735940B36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1" authorId="0" shapeId="0" xr:uid="{88D896DA-278C-433B-A966-D3631B4B0574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2" authorId="0" shapeId="0" xr:uid="{CEF0A1B7-3CFB-41C0-A1CD-A3BA96A08FD2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3" authorId="0" shapeId="0" xr:uid="{2951020E-27ED-458F-B335-B33685B2C8BC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4" authorId="0" shapeId="0" xr:uid="{45EFA9DD-855B-40CC-8AB2-10265A158C38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5" authorId="0" shapeId="0" xr:uid="{3B69E181-6049-4940-BB69-B8C6B3908355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6" authorId="0" shapeId="0" xr:uid="{295C30C9-62B4-4021-8FC0-8B83C4D6BE1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7" authorId="0" shapeId="0" xr:uid="{80CA2760-F402-48E1-9743-C8EE446C0953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X8" authorId="0" shapeId="0" xr:uid="{CFDB8F99-F8F5-4891-986E-EC86ABA6B614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0" authorId="0" shapeId="0" xr:uid="{24F4095A-8CBD-4F05-8D8D-64C58DA30F9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1" authorId="0" shapeId="0" xr:uid="{7AD74A91-98B9-4267-B8FC-D0AA4601305A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2" authorId="0" shapeId="0" xr:uid="{23155FD9-ACB2-4242-B316-6011210A2554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3" authorId="0" shapeId="0" xr:uid="{33EF2B50-5A79-4169-BD34-A7AA154DA2A3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4" authorId="0" shapeId="0" xr:uid="{47BF7F85-E891-4652-92F0-FD4B62A00C3D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5" authorId="0" shapeId="0" xr:uid="{FF82FB8B-0272-4BE7-95C5-9350E7E95849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6" authorId="0" shapeId="0" xr:uid="{EE2EBD85-8A98-4F62-8C1A-E5A1CA99A762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8" authorId="0" shapeId="0" xr:uid="{DD751904-B680-477C-B826-CA1BF994D028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1" authorId="0" shapeId="0" xr:uid="{CE9E5CCB-779A-4508-87FC-B3C9F2E8EF7F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4" authorId="0" shapeId="0" xr:uid="{106A85AF-8288-46C1-AF09-F95E7D7F9CF2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X7" authorId="0" shapeId="0" xr:uid="{A048536E-8472-4D29-AA86-55C2BBFCD22F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0" authorId="0" shapeId="0" xr:uid="{0504CAC0-033A-45B9-80DC-EED8F68CA3D2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1" authorId="0" shapeId="0" xr:uid="{ECA89365-A8AA-43C0-A205-C8B356D27888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2" authorId="0" shapeId="0" xr:uid="{DC3C5073-0A91-4687-AC38-6D5D865203EB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3" authorId="0" shapeId="0" xr:uid="{B0C6B6D7-783D-46EF-91EE-362F94C3CA5D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4" authorId="0" shapeId="0" xr:uid="{35286637-0EDC-4F51-A828-C16ED8D495F4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19" authorId="0" shapeId="0" xr:uid="{0C8B2395-E382-496A-BD81-92678A76DD29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1" authorId="0" shapeId="0" xr:uid="{1D18F607-F545-4662-99BD-7A71D250ADA2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2" authorId="0" shapeId="0" xr:uid="{73131580-E009-4C2A-B9F2-CD34E777A3D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3" authorId="0" shapeId="0" xr:uid="{5905CE29-8AB3-4E0E-91D1-111BBEF734BC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6" authorId="0" shapeId="0" xr:uid="{37038FF7-79A8-4C99-A907-EF5F3950D795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X27" authorId="0" shapeId="0" xr:uid="{4997FE9D-F615-4D63-90B3-F20A93AC343A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X7" authorId="0" shapeId="0" xr:uid="{E1FB926D-F350-490A-B969-3D17BABFBF21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sharedStrings.xml><?xml version="1.0" encoding="utf-8"?>
<sst xmlns="http://schemas.openxmlformats.org/spreadsheetml/2006/main" count="796" uniqueCount="256">
  <si>
    <t>TOP 20 SPB TEMPORADA 2022</t>
  </si>
  <si>
    <t>BASES</t>
  </si>
  <si>
    <t xml:space="preserve">NOMBRE </t>
  </si>
  <si>
    <t>FICHA</t>
  </si>
  <si>
    <t>CLUB</t>
  </si>
  <si>
    <t>PJ</t>
  </si>
  <si>
    <t>PTS</t>
  </si>
  <si>
    <t>DOBLES</t>
  </si>
  <si>
    <t>TRIPLES</t>
  </si>
  <si>
    <t>TIROS LIBRES</t>
  </si>
  <si>
    <t>REBOTES</t>
  </si>
  <si>
    <t>AS</t>
  </si>
  <si>
    <t>BLKS</t>
  </si>
  <si>
    <t>PELOTAS</t>
  </si>
  <si>
    <t>FALTAS</t>
  </si>
  <si>
    <t>MIN</t>
  </si>
  <si>
    <t>VAL</t>
  </si>
  <si>
    <t>C</t>
  </si>
  <si>
    <t>L</t>
  </si>
  <si>
    <t>%</t>
  </si>
  <si>
    <t>DE</t>
  </si>
  <si>
    <t>OF</t>
  </si>
  <si>
    <t>TOT</t>
  </si>
  <si>
    <t>PÉR.</t>
  </si>
  <si>
    <t>REC.</t>
  </si>
  <si>
    <t>FP</t>
  </si>
  <si>
    <t>FR</t>
  </si>
  <si>
    <t>THOMAS, Marcus</t>
  </si>
  <si>
    <t>IMP</t>
  </si>
  <si>
    <t>LLANEROS</t>
  </si>
  <si>
    <t>S/R</t>
  </si>
  <si>
    <t>30.8</t>
  </si>
  <si>
    <t>DESHIELDS, Keiron</t>
  </si>
  <si>
    <t>HÉROES</t>
  </si>
  <si>
    <t>ABREU, Alexander</t>
  </si>
  <si>
    <t>GUAROS</t>
  </si>
  <si>
    <t>31.4</t>
  </si>
  <si>
    <t>GALLOWAY, Ramon</t>
  </si>
  <si>
    <t>SPARTANS</t>
  </si>
  <si>
    <t>PEÑA, Kelvin</t>
  </si>
  <si>
    <t>MAY</t>
  </si>
  <si>
    <t>CENTAUROS</t>
  </si>
  <si>
    <t>30.4</t>
  </si>
  <si>
    <t>CAZORLA, Harold</t>
  </si>
  <si>
    <t>GIGANTES</t>
  </si>
  <si>
    <t>24.0</t>
  </si>
  <si>
    <t>VILDOZA, Leandro</t>
  </si>
  <si>
    <t>SUPERSÓNICOS</t>
  </si>
  <si>
    <t>33.0</t>
  </si>
  <si>
    <t>SOLANO, Gelvis</t>
  </si>
  <si>
    <t>COCODRILOS</t>
  </si>
  <si>
    <t>27.6</t>
  </si>
  <si>
    <t>VARGAS, Gregory</t>
  </si>
  <si>
    <t>GLADIADORES</t>
  </si>
  <si>
    <t>31.5</t>
  </si>
  <si>
    <t>GUILLENT, Heisslent</t>
  </si>
  <si>
    <t>GUAIQUERÍES</t>
  </si>
  <si>
    <t>26.4</t>
  </si>
  <si>
    <t xml:space="preserve">ALI, Hameed </t>
  </si>
  <si>
    <t>BRILLANTES</t>
  </si>
  <si>
    <t>29.1</t>
  </si>
  <si>
    <t>TOVAR, Edson</t>
  </si>
  <si>
    <t>U19</t>
  </si>
  <si>
    <t>TOROS</t>
  </si>
  <si>
    <t>27.5</t>
  </si>
  <si>
    <t>CUBILLAN, David</t>
  </si>
  <si>
    <t>TROTAMUNDOS</t>
  </si>
  <si>
    <t>29.3</t>
  </si>
  <si>
    <t>MORILLO, Alexander</t>
  </si>
  <si>
    <t>PIRATAS</t>
  </si>
  <si>
    <t>29.5</t>
  </si>
  <si>
    <t>MIGNANI, Sebastián</t>
  </si>
  <si>
    <t>29.8</t>
  </si>
  <si>
    <t>CABRERA, Alan</t>
  </si>
  <si>
    <t>U21</t>
  </si>
  <si>
    <t>26.3</t>
  </si>
  <si>
    <t>GUILLENT, Heldrin</t>
  </si>
  <si>
    <t>19.4</t>
  </si>
  <si>
    <t>HERNÁNDEZ, Emiro</t>
  </si>
  <si>
    <t>CANGREJEROS</t>
  </si>
  <si>
    <r>
      <t>CEDEÑO, Carlos</t>
    </r>
    <r>
      <rPr>
        <b/>
        <sz val="11"/>
        <color indexed="10"/>
        <rFont val="Calibri"/>
        <family val="2"/>
      </rPr>
      <t xml:space="preserve"> </t>
    </r>
  </si>
  <si>
    <t>MARINOS</t>
  </si>
  <si>
    <t>24.2</t>
  </si>
  <si>
    <t>SOJO, José</t>
  </si>
  <si>
    <t>18,.8</t>
  </si>
  <si>
    <t>ESCOLTAS</t>
  </si>
  <si>
    <t>MAC, Sheldon</t>
  </si>
  <si>
    <t>32.4</t>
  </si>
  <si>
    <t>SOJO, Garly</t>
  </si>
  <si>
    <t>BRONCOS</t>
  </si>
  <si>
    <t>32.0</t>
  </si>
  <si>
    <r>
      <t>CLARK, Elyjah</t>
    </r>
    <r>
      <rPr>
        <b/>
        <sz val="11"/>
        <color indexed="10"/>
        <rFont val="Calibri"/>
        <family val="2"/>
      </rPr>
      <t xml:space="preserve"> </t>
    </r>
  </si>
  <si>
    <t>GAITEROS</t>
  </si>
  <si>
    <t>32.6</t>
  </si>
  <si>
    <t>WILLIAMS, George</t>
  </si>
  <si>
    <t>34.0</t>
  </si>
  <si>
    <t>BRACEY, Lisander</t>
  </si>
  <si>
    <t>34.8</t>
  </si>
  <si>
    <t>ZAMORA, Jhorman</t>
  </si>
  <si>
    <t>JHONSON, Melvin</t>
  </si>
  <si>
    <t>GUIQUERÍES</t>
  </si>
  <si>
    <t>27.3</t>
  </si>
  <si>
    <t>ABDUL ALEEM, Mussa</t>
  </si>
  <si>
    <t>14.8</t>
  </si>
  <si>
    <t>DUARTE, Luis</t>
  </si>
  <si>
    <t>23.1</t>
  </si>
  <si>
    <t>SIFONTES, Yohanner</t>
  </si>
  <si>
    <t>WARREN, Willy</t>
  </si>
  <si>
    <t>28.5</t>
  </si>
  <si>
    <t>ARENGO, Juan</t>
  </si>
  <si>
    <t>31.2</t>
  </si>
  <si>
    <t>COUTIN, Neysser</t>
  </si>
  <si>
    <t>31.3</t>
  </si>
  <si>
    <t xml:space="preserve">BERRY, Davion </t>
  </si>
  <si>
    <t>30.1</t>
  </si>
  <si>
    <t>NIÑO, Kevin</t>
  </si>
  <si>
    <t>U23</t>
  </si>
  <si>
    <t>DAVIS, Dwayne</t>
  </si>
  <si>
    <t>STEPHENS, Menas</t>
  </si>
  <si>
    <t>PALACIOS, Nélson</t>
  </si>
  <si>
    <t>CHOURIO, Pedro</t>
  </si>
  <si>
    <t>25.4</t>
  </si>
  <si>
    <t>BAEZ, Elvis</t>
  </si>
  <si>
    <t>ALEROS</t>
  </si>
  <si>
    <t>EFIANAYI, Tanskley</t>
  </si>
  <si>
    <t>MONTERO, Luis</t>
  </si>
  <si>
    <t>VASILEIADIS, Kostas</t>
  </si>
  <si>
    <t>32.5</t>
  </si>
  <si>
    <t xml:space="preserve">WADELL, Nicholas </t>
  </si>
  <si>
    <t>27.8</t>
  </si>
  <si>
    <t>GILDER, Tray</t>
  </si>
  <si>
    <t>26.7</t>
  </si>
  <si>
    <t>MORRISON, Dominique</t>
  </si>
  <si>
    <t>31.0</t>
  </si>
  <si>
    <t>ALMANZA, Luis</t>
  </si>
  <si>
    <t>27.9</t>
  </si>
  <si>
    <t>FERNÁNDEZ, Martín</t>
  </si>
  <si>
    <t>30.7</t>
  </si>
  <si>
    <t>SMITH, Donta</t>
  </si>
  <si>
    <t>VICK, Lageral</t>
  </si>
  <si>
    <t xml:space="preserve">FIELDS, Tamyrik </t>
  </si>
  <si>
    <t>25.0</t>
  </si>
  <si>
    <t>PÉREZ, Anthony</t>
  </si>
  <si>
    <t>25.9</t>
  </si>
  <si>
    <t>GIMENEZ, Elder</t>
  </si>
  <si>
    <t>20.4</t>
  </si>
  <si>
    <t xml:space="preserve">RAMIREZ, Derwin </t>
  </si>
  <si>
    <t>TAURINOS</t>
  </si>
  <si>
    <t>25.5</t>
  </si>
  <si>
    <t>22.0</t>
  </si>
  <si>
    <t>MACUARE, Daniel</t>
  </si>
  <si>
    <t>28.6</t>
  </si>
  <si>
    <t>RONDON, Jorge</t>
  </si>
  <si>
    <t>15.1</t>
  </si>
  <si>
    <t>11.6</t>
  </si>
  <si>
    <t xml:space="preserve">MARTÍNEZ, Alcides </t>
  </si>
  <si>
    <t>17.5</t>
  </si>
  <si>
    <t>MARTÍNEZ, Edgar</t>
  </si>
  <si>
    <t>ROCA, Raymond</t>
  </si>
  <si>
    <t>MATERÁN, José</t>
  </si>
  <si>
    <t>16.7</t>
  </si>
  <si>
    <t>ALA-PIVOTS</t>
  </si>
  <si>
    <t>ALEXANDER, Kwame</t>
  </si>
  <si>
    <t>34.1</t>
  </si>
  <si>
    <t>COLLIER, Devon</t>
  </si>
  <si>
    <t>29.6</t>
  </si>
  <si>
    <t>HOLLIS, Damian</t>
  </si>
  <si>
    <t>29.9</t>
  </si>
  <si>
    <t xml:space="preserve">CARRERAS, Michael </t>
  </si>
  <si>
    <t>MARTÍNEZ, Jack M.</t>
  </si>
  <si>
    <t xml:space="preserve">THOMAS, Charles </t>
  </si>
  <si>
    <t>VARGAS, José</t>
  </si>
  <si>
    <t xml:space="preserve">ROMANO, Nicolás </t>
  </si>
  <si>
    <t>27.1</t>
  </si>
  <si>
    <t>BETHELMY, Luis</t>
  </si>
  <si>
    <t>30.2</t>
  </si>
  <si>
    <t xml:space="preserve">JOHNSON, Brandon </t>
  </si>
  <si>
    <t>ASCANIO, José</t>
  </si>
  <si>
    <t>23.6</t>
  </si>
  <si>
    <t xml:space="preserve">FREDERICK, Erik </t>
  </si>
  <si>
    <t>YOUNG, Anthony</t>
  </si>
  <si>
    <t>24.5</t>
  </si>
  <si>
    <t>CARABALLO, Kelvin</t>
  </si>
  <si>
    <t>19.7</t>
  </si>
  <si>
    <r>
      <t>RASIO, Lisandro</t>
    </r>
    <r>
      <rPr>
        <b/>
        <sz val="11"/>
        <color indexed="10"/>
        <rFont val="Calibri"/>
        <family val="2"/>
      </rPr>
      <t xml:space="preserve"> </t>
    </r>
  </si>
  <si>
    <t>FUENMAYOR, Fernando</t>
  </si>
  <si>
    <t>26.9</t>
  </si>
  <si>
    <t>COBOS, Tulio</t>
  </si>
  <si>
    <t>29.2</t>
  </si>
  <si>
    <t>VARGAS, Javinger</t>
  </si>
  <si>
    <t>CISNEROS, Anyelo</t>
  </si>
  <si>
    <t>17.8</t>
  </si>
  <si>
    <t xml:space="preserve">LÓPEZ, Lenin </t>
  </si>
  <si>
    <t>20.8</t>
  </si>
  <si>
    <t>17.2</t>
  </si>
  <si>
    <t>PIVOTS</t>
  </si>
  <si>
    <t>COLMENARES, Néstor.</t>
  </si>
  <si>
    <t>30.5</t>
  </si>
  <si>
    <t>ARAUJO, Jhonatan</t>
  </si>
  <si>
    <t>28.3</t>
  </si>
  <si>
    <t>GRATEROL, Windi</t>
  </si>
  <si>
    <t>GUERRERO, Juan</t>
  </si>
  <si>
    <t>30.0</t>
  </si>
  <si>
    <t>BLAIR, Staphon</t>
  </si>
  <si>
    <t>20.6</t>
  </si>
  <si>
    <t>PEÑA, Antonio</t>
  </si>
  <si>
    <t>DELPH, Ronald</t>
  </si>
  <si>
    <t>SHAW, Jarred</t>
  </si>
  <si>
    <t>23.0</t>
  </si>
  <si>
    <t>DÍAZ, Marlon</t>
  </si>
  <si>
    <t>JOHNSON, Roquez</t>
  </si>
  <si>
    <t>RODRIGUEZ, Carlos</t>
  </si>
  <si>
    <t>23.2</t>
  </si>
  <si>
    <t>RAINES, Cadarian</t>
  </si>
  <si>
    <t>27.7</t>
  </si>
  <si>
    <t>HAGINS, Jamelle</t>
  </si>
  <si>
    <t>21.3</t>
  </si>
  <si>
    <t>CENTENO, Francisco</t>
  </si>
  <si>
    <t>24.7</t>
  </si>
  <si>
    <t>RUIZ, Miguel</t>
  </si>
  <si>
    <t>RODRIGUEZ, José</t>
  </si>
  <si>
    <t>MARTÍNEZ, Jesús</t>
  </si>
  <si>
    <t>16.6</t>
  </si>
  <si>
    <r>
      <t>NARCIS, Jabari</t>
    </r>
    <r>
      <rPr>
        <b/>
        <sz val="11"/>
        <color indexed="10"/>
        <rFont val="Calibri"/>
        <family val="2"/>
      </rPr>
      <t xml:space="preserve"> </t>
    </r>
  </si>
  <si>
    <t>CHRISTMAS, Rakeen</t>
  </si>
  <si>
    <t>13.7</t>
  </si>
  <si>
    <t>CARRILLO, Luis</t>
  </si>
  <si>
    <t>FICHAS U23 / U21 / U19</t>
  </si>
  <si>
    <t>AÑO DE</t>
  </si>
  <si>
    <t>NACIM.</t>
  </si>
  <si>
    <t>CABRERA, Allan</t>
  </si>
  <si>
    <t>AMUNDARAY, Arian</t>
  </si>
  <si>
    <t>23.8</t>
  </si>
  <si>
    <t>GÓMEZ, Wilkerman</t>
  </si>
  <si>
    <t>18.6</t>
  </si>
  <si>
    <t>ALCALÁ, Enderson</t>
  </si>
  <si>
    <t>14.7</t>
  </si>
  <si>
    <t>BETANCOURT, Luis</t>
  </si>
  <si>
    <t>12.7</t>
  </si>
  <si>
    <t>INDRIAGO, Argenis</t>
  </si>
  <si>
    <t>9.6</t>
  </si>
  <si>
    <t>GUILLEN, Jesuangel</t>
  </si>
  <si>
    <t>8.0</t>
  </si>
  <si>
    <t>HEREDIA, Irwin</t>
  </si>
  <si>
    <t>12.4</t>
  </si>
  <si>
    <t>CENTENO, Elián</t>
  </si>
  <si>
    <t>9.0</t>
  </si>
  <si>
    <t>GUERRA, Yeferson</t>
  </si>
  <si>
    <t>MARQUEZ, Omar</t>
  </si>
  <si>
    <t>BERROTERÁN, Gregory</t>
  </si>
  <si>
    <t>ORTEGA, Héctor</t>
  </si>
  <si>
    <t>10.3</t>
  </si>
  <si>
    <t>LÓPEZ, Carlos</t>
  </si>
  <si>
    <t>5.3</t>
  </si>
  <si>
    <t>URBINA, Kender</t>
  </si>
  <si>
    <t>6.8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</si>
</sst>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</font>
    <font>
      <b/>
      <sz val="33"/>
      <color rgb="FFFF6600"/>
      <name val="Calibri"/>
      <family val="2"/>
    </font>
    <font>
      <b/>
      <sz val="24"/>
      <color rgb="FFFF6600"/>
      <name val="Calibri"/>
      <family val="2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28"/>
      <color rgb="FFFF0000"/>
      <name val="Calibri"/>
      <family val="2"/>
      <scheme val="minor"/>
    </font>
    <font>
      <b/>
      <sz val="8"/>
      <color theme="1"/>
      <name val="Arial"/>
      <family val="2"/>
    </font>
    <font>
      <sz val="10"/>
      <color theme="0"/>
      <name val="Arial"/>
      <family val="2"/>
    </font>
    <font>
      <b/>
      <sz val="11"/>
      <color rgb="FF000046"/>
      <name val="Arial"/>
      <family val="2"/>
    </font>
    <font>
      <b/>
      <sz val="12"/>
      <color rgb="FF000046"/>
      <name val="Calibri"/>
      <family val="2"/>
      <scheme val="minor"/>
    </font>
    <font>
      <b/>
      <sz val="11"/>
      <color rgb="FF000046"/>
      <name val="Calibri"/>
      <family val="2"/>
      <scheme val="minor"/>
    </font>
    <font>
      <sz val="24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name val="Arial"/>
      <family val="2"/>
    </font>
    <font>
      <b/>
      <sz val="11"/>
      <color rgb="FF00206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0046"/>
        <bgColor indexed="64"/>
      </patternFill>
    </fill>
    <fill>
      <patternFill patternType="solid">
        <fgColor rgb="FFFFAA2D"/>
        <bgColor indexed="64"/>
      </patternFill>
    </fill>
    <fill>
      <patternFill patternType="solid">
        <fgColor rgb="FF000042"/>
        <bgColor indexed="64"/>
      </patternFill>
    </fill>
    <fill>
      <patternFill patternType="solid">
        <fgColor rgb="FFFF6F0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double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double">
        <color rgb="FF000000"/>
      </bottom>
      <diagonal/>
    </border>
    <border>
      <left/>
      <right/>
      <top style="thin">
        <color indexed="64"/>
      </top>
      <bottom style="double">
        <color rgb="FF000000"/>
      </bottom>
      <diagonal/>
    </border>
    <border>
      <left style="medium">
        <color rgb="FF000000"/>
      </left>
      <right/>
      <top style="thin">
        <color indexed="64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000000"/>
      </bottom>
      <diagonal/>
    </border>
    <border>
      <left/>
      <right style="thin">
        <color indexed="64"/>
      </right>
      <top style="thin">
        <color indexed="64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double">
        <color rgb="FF000000"/>
      </bottom>
      <diagonal/>
    </border>
    <border>
      <left/>
      <right style="medium">
        <color rgb="FF000000"/>
      </right>
      <top style="thin">
        <color indexed="64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double">
        <color rgb="FF000000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double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/>
      <bottom style="double">
        <color rgb="FF000000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double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rgb="FF000000"/>
      </right>
      <top style="thin">
        <color indexed="64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55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0" fontId="3" fillId="3" borderId="1" xfId="0" quotePrefix="1" applyFont="1" applyFill="1" applyBorder="1" applyAlignment="1">
      <alignment horizontal="center" vertical="center" wrapText="1"/>
    </xf>
    <xf numFmtId="0" fontId="0" fillId="6" borderId="0" xfId="0" applyFill="1"/>
    <xf numFmtId="0" fontId="0" fillId="2" borderId="8" xfId="0" applyFill="1" applyBorder="1"/>
    <xf numFmtId="0" fontId="0" fillId="2" borderId="9" xfId="0" applyFill="1" applyBorder="1"/>
    <xf numFmtId="0" fontId="3" fillId="7" borderId="1" xfId="0" applyFont="1" applyFill="1" applyBorder="1" applyAlignment="1">
      <alignment horizontal="center" vertical="center" wrapText="1"/>
    </xf>
    <xf numFmtId="164" fontId="3" fillId="7" borderId="1" xfId="0" applyNumberFormat="1" applyFont="1" applyFill="1" applyBorder="1" applyAlignment="1">
      <alignment horizontal="center" vertical="center" wrapText="1"/>
    </xf>
    <xf numFmtId="1" fontId="3" fillId="7" borderId="1" xfId="0" applyNumberFormat="1" applyFont="1" applyFill="1" applyBorder="1" applyAlignment="1">
      <alignment horizontal="center" vertical="center" wrapText="1"/>
    </xf>
    <xf numFmtId="0" fontId="3" fillId="7" borderId="1" xfId="0" quotePrefix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164" fontId="3" fillId="5" borderId="1" xfId="0" applyNumberFormat="1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21" fillId="4" borderId="0" xfId="0" applyFont="1" applyFill="1" applyAlignment="1">
      <alignment horizontal="center"/>
    </xf>
    <xf numFmtId="0" fontId="16" fillId="7" borderId="24" xfId="0" applyFont="1" applyFill="1" applyBorder="1" applyAlignment="1">
      <alignment horizontal="center" vertical="center" wrapText="1"/>
    </xf>
    <xf numFmtId="0" fontId="16" fillId="7" borderId="28" xfId="0" applyFont="1" applyFill="1" applyBorder="1" applyAlignment="1">
      <alignment horizontal="center" vertical="center" wrapText="1"/>
    </xf>
    <xf numFmtId="0" fontId="16" fillId="7" borderId="25" xfId="0" applyFont="1" applyFill="1" applyBorder="1" applyAlignment="1">
      <alignment horizontal="center" vertical="center" wrapText="1"/>
    </xf>
    <xf numFmtId="0" fontId="16" fillId="7" borderId="29" xfId="0" applyFont="1" applyFill="1" applyBorder="1" applyAlignment="1">
      <alignment horizontal="center" vertical="center" wrapText="1"/>
    </xf>
    <xf numFmtId="0" fontId="16" fillId="7" borderId="30" xfId="0" applyFont="1" applyFill="1" applyBorder="1" applyAlignment="1">
      <alignment horizontal="center" vertical="center" wrapText="1"/>
    </xf>
    <xf numFmtId="0" fontId="16" fillId="7" borderId="3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164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1" fillId="3" borderId="37" xfId="0" applyFont="1" applyFill="1" applyBorder="1" applyAlignment="1">
      <alignment horizontal="center" vertical="center"/>
    </xf>
    <xf numFmtId="0" fontId="1" fillId="7" borderId="37" xfId="0" applyFont="1" applyFill="1" applyBorder="1" applyAlignment="1">
      <alignment horizontal="center" vertical="center"/>
    </xf>
    <xf numFmtId="0" fontId="1" fillId="7" borderId="40" xfId="0" applyFont="1" applyFill="1" applyBorder="1" applyAlignment="1">
      <alignment horizontal="center" vertical="center"/>
    </xf>
    <xf numFmtId="0" fontId="1" fillId="7" borderId="41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9" xfId="0" applyFont="1" applyFill="1" applyBorder="1" applyAlignment="1">
      <alignment horizontal="center" vertical="center" wrapText="1"/>
    </xf>
    <xf numFmtId="0" fontId="3" fillId="7" borderId="50" xfId="0" applyFont="1" applyFill="1" applyBorder="1" applyAlignment="1">
      <alignment horizontal="center" vertical="center" wrapText="1"/>
    </xf>
    <xf numFmtId="0" fontId="3" fillId="3" borderId="50" xfId="0" applyFont="1" applyFill="1" applyBorder="1" applyAlignment="1">
      <alignment horizontal="center" vertical="center" wrapText="1"/>
    </xf>
    <xf numFmtId="0" fontId="3" fillId="5" borderId="51" xfId="0" applyFont="1" applyFill="1" applyBorder="1" applyAlignment="1">
      <alignment horizontal="center" vertical="center" wrapText="1"/>
    </xf>
    <xf numFmtId="0" fontId="12" fillId="3" borderId="57" xfId="0" applyFont="1" applyFill="1" applyBorder="1" applyAlignment="1">
      <alignment horizontal="center" vertical="center"/>
    </xf>
    <xf numFmtId="0" fontId="12" fillId="7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2" fillId="5" borderId="58" xfId="0" applyFont="1" applyFill="1" applyBorder="1" applyAlignment="1">
      <alignment horizontal="center" vertical="center"/>
    </xf>
    <xf numFmtId="164" fontId="3" fillId="3" borderId="45" xfId="0" applyNumberFormat="1" applyFont="1" applyFill="1" applyBorder="1" applyAlignment="1">
      <alignment horizontal="center" vertical="center" wrapText="1"/>
    </xf>
    <xf numFmtId="164" fontId="3" fillId="7" borderId="36" xfId="0" applyNumberFormat="1" applyFont="1" applyFill="1" applyBorder="1" applyAlignment="1">
      <alignment horizontal="center" vertical="center" wrapText="1"/>
    </xf>
    <xf numFmtId="164" fontId="3" fillId="3" borderId="36" xfId="0" applyNumberFormat="1" applyFont="1" applyFill="1" applyBorder="1" applyAlignment="1">
      <alignment horizontal="center" vertical="center" wrapText="1"/>
    </xf>
    <xf numFmtId="164" fontId="7" fillId="3" borderId="39" xfId="0" applyNumberFormat="1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164" fontId="3" fillId="5" borderId="46" xfId="0" applyNumberFormat="1" applyFont="1" applyFill="1" applyBorder="1" applyAlignment="1">
      <alignment horizontal="center" vertical="center" wrapText="1"/>
    </xf>
    <xf numFmtId="164" fontId="3" fillId="5" borderId="59" xfId="0" applyNumberFormat="1" applyFont="1" applyFill="1" applyBorder="1" applyAlignment="1">
      <alignment horizontal="center" vertical="center" wrapText="1"/>
    </xf>
    <xf numFmtId="164" fontId="6" fillId="3" borderId="57" xfId="0" applyNumberFormat="1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164" fontId="6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64" fontId="6" fillId="7" borderId="2" xfId="0" applyNumberFormat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164" fontId="3" fillId="3" borderId="43" xfId="0" applyNumberFormat="1" applyFont="1" applyFill="1" applyBorder="1" applyAlignment="1">
      <alignment horizontal="center" vertical="center" wrapText="1"/>
    </xf>
    <xf numFmtId="164" fontId="3" fillId="7" borderId="3" xfId="0" applyNumberFormat="1" applyFont="1" applyFill="1" applyBorder="1" applyAlignment="1">
      <alignment horizontal="center" vertical="center" wrapText="1"/>
    </xf>
    <xf numFmtId="164" fontId="3" fillId="3" borderId="3" xfId="0" applyNumberFormat="1" applyFont="1" applyFill="1" applyBorder="1" applyAlignment="1">
      <alignment horizontal="center" vertical="center" wrapText="1"/>
    </xf>
    <xf numFmtId="164" fontId="3" fillId="5" borderId="3" xfId="0" applyNumberFormat="1" applyFont="1" applyFill="1" applyBorder="1" applyAlignment="1">
      <alignment horizontal="center" vertical="center" wrapText="1"/>
    </xf>
    <xf numFmtId="164" fontId="7" fillId="3" borderId="47" xfId="0" applyNumberFormat="1" applyFont="1" applyFill="1" applyBorder="1" applyAlignment="1">
      <alignment horizontal="center" vertical="center" wrapText="1"/>
    </xf>
    <xf numFmtId="164" fontId="7" fillId="7" borderId="34" xfId="0" applyNumberFormat="1" applyFont="1" applyFill="1" applyBorder="1" applyAlignment="1">
      <alignment horizontal="center" vertical="center" wrapText="1"/>
    </xf>
    <xf numFmtId="164" fontId="7" fillId="3" borderId="34" xfId="0" applyNumberFormat="1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7" borderId="34" xfId="0" applyFont="1" applyFill="1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164" fontId="3" fillId="3" borderId="36" xfId="0" quotePrefix="1" applyNumberFormat="1" applyFont="1" applyFill="1" applyBorder="1" applyAlignment="1">
      <alignment horizontal="center" vertical="center" wrapText="1"/>
    </xf>
    <xf numFmtId="164" fontId="3" fillId="7" borderId="36" xfId="0" quotePrefix="1" applyNumberFormat="1" applyFont="1" applyFill="1" applyBorder="1" applyAlignment="1">
      <alignment horizontal="center" vertical="center" wrapText="1"/>
    </xf>
    <xf numFmtId="164" fontId="7" fillId="5" borderId="48" xfId="0" applyNumberFormat="1" applyFont="1" applyFill="1" applyBorder="1" applyAlignment="1">
      <alignment horizontal="center" vertical="center" wrapText="1"/>
    </xf>
    <xf numFmtId="0" fontId="16" fillId="7" borderId="60" xfId="0" applyFont="1" applyFill="1" applyBorder="1" applyAlignment="1">
      <alignment horizontal="center" vertical="center" wrapText="1"/>
    </xf>
    <xf numFmtId="0" fontId="16" fillId="7" borderId="44" xfId="0" applyFont="1" applyFill="1" applyBorder="1" applyAlignment="1">
      <alignment horizontal="center" vertical="center" wrapText="1"/>
    </xf>
    <xf numFmtId="164" fontId="3" fillId="7" borderId="39" xfId="0" applyNumberFormat="1" applyFont="1" applyFill="1" applyBorder="1" applyAlignment="1">
      <alignment horizontal="center" vertical="center" wrapText="1"/>
    </xf>
    <xf numFmtId="0" fontId="3" fillId="3" borderId="36" xfId="0" applyFont="1" applyFill="1" applyBorder="1" applyAlignment="1">
      <alignment horizontal="center" vertical="center" wrapText="1"/>
    </xf>
    <xf numFmtId="164" fontId="3" fillId="3" borderId="39" xfId="0" applyNumberFormat="1" applyFont="1" applyFill="1" applyBorder="1" applyAlignment="1">
      <alignment horizontal="center" vertical="center" wrapText="1"/>
    </xf>
    <xf numFmtId="0" fontId="3" fillId="7" borderId="36" xfId="0" applyFont="1" applyFill="1" applyBorder="1" applyAlignment="1">
      <alignment horizontal="center" vertical="center" wrapText="1"/>
    </xf>
    <xf numFmtId="0" fontId="3" fillId="7" borderId="39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5" borderId="46" xfId="0" applyFont="1" applyFill="1" applyBorder="1" applyAlignment="1">
      <alignment horizontal="center" vertical="center" wrapText="1"/>
    </xf>
    <xf numFmtId="0" fontId="7" fillId="3" borderId="47" xfId="0" applyFont="1" applyFill="1" applyBorder="1" applyAlignment="1">
      <alignment horizontal="center" vertical="center" wrapText="1"/>
    </xf>
    <xf numFmtId="1" fontId="7" fillId="7" borderId="34" xfId="0" applyNumberFormat="1" applyFont="1" applyFill="1" applyBorder="1" applyAlignment="1">
      <alignment horizontal="center" vertical="center" wrapText="1"/>
    </xf>
    <xf numFmtId="164" fontId="25" fillId="3" borderId="38" xfId="0" applyNumberFormat="1" applyFont="1" applyFill="1" applyBorder="1" applyAlignment="1">
      <alignment horizontal="center" vertical="center" wrapText="1"/>
    </xf>
    <xf numFmtId="164" fontId="25" fillId="7" borderId="39" xfId="0" applyNumberFormat="1" applyFont="1" applyFill="1" applyBorder="1" applyAlignment="1">
      <alignment horizontal="center" vertical="center" wrapText="1"/>
    </xf>
    <xf numFmtId="164" fontId="25" fillId="3" borderId="39" xfId="0" applyNumberFormat="1" applyFont="1" applyFill="1" applyBorder="1" applyAlignment="1">
      <alignment horizontal="center" vertical="center" wrapText="1"/>
    </xf>
    <xf numFmtId="0" fontId="25" fillId="7" borderId="39" xfId="0" applyFont="1" applyFill="1" applyBorder="1" applyAlignment="1">
      <alignment horizontal="center" vertical="center" wrapText="1"/>
    </xf>
    <xf numFmtId="0" fontId="25" fillId="3" borderId="39" xfId="0" applyFont="1" applyFill="1" applyBorder="1" applyAlignment="1">
      <alignment horizontal="center" vertical="center" wrapText="1"/>
    </xf>
    <xf numFmtId="164" fontId="25" fillId="5" borderId="42" xfId="0" applyNumberFormat="1" applyFont="1" applyFill="1" applyBorder="1" applyAlignment="1">
      <alignment horizontal="center" vertical="center" wrapText="1"/>
    </xf>
    <xf numFmtId="0" fontId="3" fillId="5" borderId="59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1" fontId="3" fillId="3" borderId="50" xfId="0" applyNumberFormat="1" applyFont="1" applyFill="1" applyBorder="1" applyAlignment="1">
      <alignment horizontal="center" vertical="center" wrapText="1"/>
    </xf>
    <xf numFmtId="0" fontId="3" fillId="3" borderId="37" xfId="0" applyFont="1" applyFill="1" applyBorder="1" applyAlignment="1">
      <alignment horizontal="center" vertical="center" wrapText="1"/>
    </xf>
    <xf numFmtId="0" fontId="3" fillId="7" borderId="61" xfId="0" applyFont="1" applyFill="1" applyBorder="1" applyAlignment="1">
      <alignment horizontal="center" vertical="center" wrapText="1"/>
    </xf>
    <xf numFmtId="0" fontId="3" fillId="3" borderId="61" xfId="0" applyFont="1" applyFill="1" applyBorder="1" applyAlignment="1">
      <alignment horizontal="center" vertical="center" wrapText="1"/>
    </xf>
    <xf numFmtId="164" fontId="3" fillId="7" borderId="61" xfId="0" applyNumberFormat="1" applyFont="1" applyFill="1" applyBorder="1" applyAlignment="1">
      <alignment horizontal="center" vertical="center" wrapText="1"/>
    </xf>
    <xf numFmtId="164" fontId="3" fillId="3" borderId="61" xfId="0" applyNumberFormat="1" applyFont="1" applyFill="1" applyBorder="1" applyAlignment="1">
      <alignment horizontal="center" vertical="center" wrapText="1"/>
    </xf>
    <xf numFmtId="0" fontId="3" fillId="5" borderId="62" xfId="0" applyFont="1" applyFill="1" applyBorder="1" applyAlignment="1">
      <alignment horizontal="center" vertical="center" wrapText="1"/>
    </xf>
    <xf numFmtId="0" fontId="3" fillId="5" borderId="63" xfId="0" applyFont="1" applyFill="1" applyBorder="1" applyAlignment="1">
      <alignment horizontal="center" vertical="center" wrapText="1"/>
    </xf>
    <xf numFmtId="164" fontId="3" fillId="3" borderId="50" xfId="0" applyNumberFormat="1" applyFont="1" applyFill="1" applyBorder="1" applyAlignment="1">
      <alignment horizontal="center" vertical="center" wrapText="1"/>
    </xf>
    <xf numFmtId="0" fontId="3" fillId="3" borderId="52" xfId="0" applyFont="1" applyFill="1" applyBorder="1" applyAlignment="1">
      <alignment horizontal="center" vertical="center" wrapText="1"/>
    </xf>
    <xf numFmtId="0" fontId="3" fillId="7" borderId="53" xfId="0" applyFont="1" applyFill="1" applyBorder="1" applyAlignment="1">
      <alignment horizontal="center" vertical="center" wrapText="1"/>
    </xf>
    <xf numFmtId="1" fontId="3" fillId="3" borderId="53" xfId="0" applyNumberFormat="1" applyFont="1" applyFill="1" applyBorder="1" applyAlignment="1">
      <alignment horizontal="center" vertical="center" wrapText="1"/>
    </xf>
    <xf numFmtId="0" fontId="3" fillId="7" borderId="53" xfId="0" quotePrefix="1" applyFont="1" applyFill="1" applyBorder="1" applyAlignment="1">
      <alignment horizontal="center" vertical="center" wrapText="1"/>
    </xf>
    <xf numFmtId="0" fontId="3" fillId="3" borderId="53" xfId="0" applyFont="1" applyFill="1" applyBorder="1" applyAlignment="1">
      <alignment horizontal="center" vertical="center" wrapText="1"/>
    </xf>
    <xf numFmtId="164" fontId="3" fillId="7" borderId="53" xfId="0" applyNumberFormat="1" applyFont="1" applyFill="1" applyBorder="1" applyAlignment="1">
      <alignment horizontal="center" vertical="center" wrapText="1"/>
    </xf>
    <xf numFmtId="0" fontId="3" fillId="5" borderId="54" xfId="0" applyFont="1" applyFill="1" applyBorder="1" applyAlignment="1">
      <alignment horizontal="center" vertical="center" wrapText="1"/>
    </xf>
    <xf numFmtId="164" fontId="3" fillId="3" borderId="53" xfId="0" applyNumberFormat="1" applyFont="1" applyFill="1" applyBorder="1" applyAlignment="1">
      <alignment horizontal="center" vertical="center" wrapText="1"/>
    </xf>
    <xf numFmtId="20" fontId="13" fillId="3" borderId="38" xfId="0" applyNumberFormat="1" applyFont="1" applyFill="1" applyBorder="1" applyAlignment="1">
      <alignment horizontal="center" vertical="center" wrapText="1"/>
    </xf>
    <xf numFmtId="20" fontId="13" fillId="7" borderId="39" xfId="0" applyNumberFormat="1" applyFont="1" applyFill="1" applyBorder="1" applyAlignment="1">
      <alignment horizontal="center" vertical="center" wrapText="1"/>
    </xf>
    <xf numFmtId="20" fontId="13" fillId="3" borderId="39" xfId="0" applyNumberFormat="1" applyFont="1" applyFill="1" applyBorder="1" applyAlignment="1">
      <alignment horizontal="center" vertical="center" wrapText="1"/>
    </xf>
    <xf numFmtId="20" fontId="13" fillId="5" borderId="42" xfId="0" applyNumberFormat="1" applyFont="1" applyFill="1" applyBorder="1" applyAlignment="1">
      <alignment horizontal="center" vertical="center" wrapText="1"/>
    </xf>
    <xf numFmtId="164" fontId="3" fillId="3" borderId="47" xfId="0" applyNumberFormat="1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164" fontId="6" fillId="3" borderId="49" xfId="0" applyNumberFormat="1" applyFont="1" applyFill="1" applyBorder="1" applyAlignment="1">
      <alignment horizontal="center" vertical="center" wrapText="1"/>
    </xf>
    <xf numFmtId="0" fontId="6" fillId="7" borderId="50" xfId="0" applyFont="1" applyFill="1" applyBorder="1" applyAlignment="1">
      <alignment horizontal="center" vertical="center" wrapText="1"/>
    </xf>
    <xf numFmtId="164" fontId="6" fillId="3" borderId="50" xfId="0" applyNumberFormat="1" applyFont="1" applyFill="1" applyBorder="1" applyAlignment="1">
      <alignment horizontal="center" vertical="center" wrapText="1"/>
    </xf>
    <xf numFmtId="0" fontId="6" fillId="3" borderId="50" xfId="0" applyFont="1" applyFill="1" applyBorder="1" applyAlignment="1">
      <alignment horizontal="center" vertical="center" wrapText="1"/>
    </xf>
    <xf numFmtId="164" fontId="6" fillId="7" borderId="50" xfId="0" applyNumberFormat="1" applyFont="1" applyFill="1" applyBorder="1" applyAlignment="1">
      <alignment horizontal="center" vertical="center" wrapText="1"/>
    </xf>
    <xf numFmtId="0" fontId="6" fillId="5" borderId="51" xfId="0" applyFont="1" applyFill="1" applyBorder="1" applyAlignment="1">
      <alignment horizontal="center" vertical="center" wrapText="1"/>
    </xf>
    <xf numFmtId="0" fontId="3" fillId="3" borderId="57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20" fontId="3" fillId="7" borderId="2" xfId="0" applyNumberFormat="1" applyFont="1" applyFill="1" applyBorder="1" applyAlignment="1">
      <alignment horizontal="center" vertical="center" wrapText="1"/>
    </xf>
    <xf numFmtId="20" fontId="3" fillId="3" borderId="2" xfId="0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1" fillId="7" borderId="68" xfId="0" applyFont="1" applyFill="1" applyBorder="1" applyAlignment="1">
      <alignment horizontal="center" vertical="center"/>
    </xf>
    <xf numFmtId="0" fontId="1" fillId="3" borderId="68" xfId="0" applyFont="1" applyFill="1" applyBorder="1" applyAlignment="1">
      <alignment horizontal="center" vertical="center"/>
    </xf>
    <xf numFmtId="0" fontId="1" fillId="7" borderId="69" xfId="0" applyFont="1" applyFill="1" applyBorder="1" applyAlignment="1">
      <alignment horizontal="center" vertical="center"/>
    </xf>
    <xf numFmtId="0" fontId="12" fillId="3" borderId="50" xfId="0" applyFont="1" applyFill="1" applyBorder="1" applyAlignment="1">
      <alignment horizontal="center" vertical="center"/>
    </xf>
    <xf numFmtId="0" fontId="12" fillId="5" borderId="50" xfId="0" applyFont="1" applyFill="1" applyBorder="1" applyAlignment="1">
      <alignment horizontal="center" vertical="center"/>
    </xf>
    <xf numFmtId="0" fontId="5" fillId="5" borderId="51" xfId="0" applyFont="1" applyFill="1" applyBorder="1" applyAlignment="1">
      <alignment horizontal="center" vertical="center"/>
    </xf>
    <xf numFmtId="0" fontId="3" fillId="3" borderId="74" xfId="0" applyFont="1" applyFill="1" applyBorder="1" applyAlignment="1">
      <alignment horizontal="left" vertical="center" wrapText="1"/>
    </xf>
    <xf numFmtId="0" fontId="3" fillId="7" borderId="75" xfId="0" applyFont="1" applyFill="1" applyBorder="1" applyAlignment="1">
      <alignment horizontal="left" vertical="center" wrapText="1"/>
    </xf>
    <xf numFmtId="0" fontId="3" fillId="3" borderId="75" xfId="0" applyFont="1" applyFill="1" applyBorder="1" applyAlignment="1">
      <alignment horizontal="left" vertical="center" wrapText="1"/>
    </xf>
    <xf numFmtId="0" fontId="3" fillId="7" borderId="76" xfId="0" applyFont="1" applyFill="1" applyBorder="1" applyAlignment="1">
      <alignment horizontal="left" vertical="center" wrapText="1"/>
    </xf>
    <xf numFmtId="0" fontId="11" fillId="3" borderId="52" xfId="0" applyFont="1" applyFill="1" applyBorder="1" applyAlignment="1">
      <alignment horizontal="center" vertical="center" wrapText="1"/>
    </xf>
    <xf numFmtId="0" fontId="11" fillId="7" borderId="53" xfId="0" applyFont="1" applyFill="1" applyBorder="1" applyAlignment="1">
      <alignment horizontal="center" vertical="center" wrapText="1"/>
    </xf>
    <xf numFmtId="0" fontId="11" fillId="3" borderId="53" xfId="0" applyFont="1" applyFill="1" applyBorder="1" applyAlignment="1">
      <alignment horizontal="center" vertical="center" wrapText="1"/>
    </xf>
    <xf numFmtId="0" fontId="11" fillId="5" borderId="54" xfId="0" applyFont="1" applyFill="1" applyBorder="1" applyAlignment="1">
      <alignment horizontal="center" vertical="center" wrapText="1"/>
    </xf>
    <xf numFmtId="0" fontId="3" fillId="7" borderId="77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4" fillId="5" borderId="58" xfId="0" applyFont="1" applyFill="1" applyBorder="1" applyAlignment="1">
      <alignment horizontal="center" vertical="center" wrapText="1"/>
    </xf>
    <xf numFmtId="164" fontId="3" fillId="5" borderId="36" xfId="0" applyNumberFormat="1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164" fontId="7" fillId="5" borderId="39" xfId="0" applyNumberFormat="1" applyFont="1" applyFill="1" applyBorder="1" applyAlignment="1">
      <alignment horizontal="center" vertical="center" wrapText="1"/>
    </xf>
    <xf numFmtId="0" fontId="7" fillId="5" borderId="54" xfId="0" applyFont="1" applyFill="1" applyBorder="1" applyAlignment="1">
      <alignment horizontal="center" vertical="center" wrapText="1"/>
    </xf>
    <xf numFmtId="0" fontId="6" fillId="5" borderId="50" xfId="0" applyFont="1" applyFill="1" applyBorder="1" applyAlignment="1">
      <alignment horizontal="center" vertical="center" wrapText="1"/>
    </xf>
    <xf numFmtId="164" fontId="6" fillId="5" borderId="50" xfId="0" applyNumberFormat="1" applyFont="1" applyFill="1" applyBorder="1" applyAlignment="1">
      <alignment horizontal="center" vertical="center" wrapText="1"/>
    </xf>
    <xf numFmtId="164" fontId="3" fillId="5" borderId="36" xfId="0" quotePrefix="1" applyNumberFormat="1" applyFont="1" applyFill="1" applyBorder="1" applyAlignment="1">
      <alignment horizontal="center" vertical="center" wrapText="1"/>
    </xf>
    <xf numFmtId="164" fontId="7" fillId="5" borderId="34" xfId="0" applyNumberFormat="1" applyFont="1" applyFill="1" applyBorder="1" applyAlignment="1">
      <alignment horizontal="center" vertical="center" wrapText="1"/>
    </xf>
    <xf numFmtId="0" fontId="7" fillId="5" borderId="34" xfId="0" applyFont="1" applyFill="1" applyBorder="1" applyAlignment="1">
      <alignment horizontal="center" vertical="center" wrapText="1"/>
    </xf>
    <xf numFmtId="164" fontId="3" fillId="5" borderId="39" xfId="0" applyNumberFormat="1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2" fontId="7" fillId="5" borderId="34" xfId="0" applyNumberFormat="1" applyFont="1" applyFill="1" applyBorder="1" applyAlignment="1">
      <alignment horizontal="center" vertical="center" wrapText="1"/>
    </xf>
    <xf numFmtId="0" fontId="7" fillId="5" borderId="58" xfId="0" applyFont="1" applyFill="1" applyBorder="1" applyAlignment="1">
      <alignment horizontal="center" vertical="center" wrapText="1"/>
    </xf>
    <xf numFmtId="164" fontId="3" fillId="3" borderId="34" xfId="0" applyNumberFormat="1" applyFont="1" applyFill="1" applyBorder="1" applyAlignment="1">
      <alignment horizontal="center" vertical="center" wrapText="1"/>
    </xf>
    <xf numFmtId="164" fontId="3" fillId="5" borderId="34" xfId="0" applyNumberFormat="1" applyFont="1" applyFill="1" applyBorder="1" applyAlignment="1">
      <alignment horizontal="center" vertical="center" wrapText="1"/>
    </xf>
    <xf numFmtId="0" fontId="3" fillId="5" borderId="34" xfId="0" applyFont="1" applyFill="1" applyBorder="1" applyAlignment="1">
      <alignment horizontal="center" vertical="center" wrapText="1"/>
    </xf>
    <xf numFmtId="0" fontId="3" fillId="3" borderId="2" xfId="0" quotePrefix="1" applyFont="1" applyFill="1" applyBorder="1" applyAlignment="1">
      <alignment horizontal="center" vertical="center" wrapText="1"/>
    </xf>
    <xf numFmtId="164" fontId="3" fillId="5" borderId="2" xfId="0" applyNumberFormat="1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  <xf numFmtId="20" fontId="13" fillId="5" borderId="39" xfId="0" applyNumberFormat="1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164" fontId="3" fillId="5" borderId="53" xfId="0" applyNumberFormat="1" applyFont="1" applyFill="1" applyBorder="1" applyAlignment="1">
      <alignment horizontal="center" vertical="center" wrapText="1"/>
    </xf>
    <xf numFmtId="0" fontId="3" fillId="3" borderId="53" xfId="0" quotePrefix="1" applyFont="1" applyFill="1" applyBorder="1" applyAlignment="1">
      <alignment horizontal="center" vertical="center" wrapText="1"/>
    </xf>
    <xf numFmtId="0" fontId="6" fillId="3" borderId="53" xfId="0" applyFont="1" applyFill="1" applyBorder="1" applyAlignment="1">
      <alignment horizontal="center" vertical="center" wrapText="1"/>
    </xf>
    <xf numFmtId="164" fontId="6" fillId="5" borderId="53" xfId="0" applyNumberFormat="1" applyFont="1" applyFill="1" applyBorder="1" applyAlignment="1">
      <alignment horizontal="center" vertical="center" wrapText="1"/>
    </xf>
    <xf numFmtId="0" fontId="6" fillId="5" borderId="53" xfId="0" applyFont="1" applyFill="1" applyBorder="1" applyAlignment="1">
      <alignment horizontal="center" vertical="center" wrapText="1"/>
    </xf>
    <xf numFmtId="164" fontId="6" fillId="3" borderId="53" xfId="0" applyNumberFormat="1" applyFont="1" applyFill="1" applyBorder="1" applyAlignment="1">
      <alignment horizontal="center" vertical="center" wrapText="1"/>
    </xf>
    <xf numFmtId="0" fontId="6" fillId="5" borderId="54" xfId="0" applyFont="1" applyFill="1" applyBorder="1" applyAlignment="1">
      <alignment horizontal="center" vertical="center" wrapText="1"/>
    </xf>
    <xf numFmtId="20" fontId="3" fillId="5" borderId="53" xfId="0" applyNumberFormat="1" applyFont="1" applyFill="1" applyBorder="1" applyAlignment="1">
      <alignment horizontal="center" vertical="center" wrapText="1"/>
    </xf>
    <xf numFmtId="46" fontId="3" fillId="5" borderId="53" xfId="0" applyNumberFormat="1" applyFont="1" applyFill="1" applyBorder="1" applyAlignment="1">
      <alignment horizontal="center" vertical="center" wrapText="1"/>
    </xf>
    <xf numFmtId="46" fontId="3" fillId="3" borderId="53" xfId="0" applyNumberFormat="1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164" fontId="3" fillId="5" borderId="63" xfId="0" applyNumberFormat="1" applyFont="1" applyFill="1" applyBorder="1" applyAlignment="1">
      <alignment horizontal="center" vertical="center" wrapText="1"/>
    </xf>
    <xf numFmtId="20" fontId="13" fillId="5" borderId="78" xfId="0" applyNumberFormat="1" applyFont="1" applyFill="1" applyBorder="1" applyAlignment="1">
      <alignment horizontal="center" vertical="center" wrapText="1"/>
    </xf>
    <xf numFmtId="46" fontId="3" fillId="5" borderId="54" xfId="0" applyNumberFormat="1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1" fillId="7" borderId="67" xfId="0" applyFont="1" applyFill="1" applyBorder="1" applyAlignment="1">
      <alignment horizontal="center" vertical="center" wrapText="1"/>
    </xf>
    <xf numFmtId="0" fontId="3" fillId="7" borderId="51" xfId="0" applyFont="1" applyFill="1" applyBorder="1" applyAlignment="1">
      <alignment horizontal="center" vertical="center" wrapText="1"/>
    </xf>
    <xf numFmtId="0" fontId="12" fillId="3" borderId="61" xfId="0" applyFont="1" applyFill="1" applyBorder="1" applyAlignment="1">
      <alignment horizontal="center" vertical="center"/>
    </xf>
    <xf numFmtId="0" fontId="12" fillId="7" borderId="61" xfId="0" applyFont="1" applyFill="1" applyBorder="1" applyAlignment="1">
      <alignment horizontal="center" vertical="center"/>
    </xf>
    <xf numFmtId="0" fontId="12" fillId="7" borderId="62" xfId="0" applyFont="1" applyFill="1" applyBorder="1" applyAlignment="1">
      <alignment horizontal="center" vertical="center"/>
    </xf>
    <xf numFmtId="164" fontId="3" fillId="7" borderId="46" xfId="0" applyNumberFormat="1" applyFont="1" applyFill="1" applyBorder="1" applyAlignment="1">
      <alignment horizontal="center" vertical="center" wrapText="1"/>
    </xf>
    <xf numFmtId="164" fontId="3" fillId="7" borderId="59" xfId="0" applyNumberFormat="1" applyFont="1" applyFill="1" applyBorder="1" applyAlignment="1">
      <alignment horizontal="center" vertical="center" wrapText="1"/>
    </xf>
    <xf numFmtId="1" fontId="3" fillId="3" borderId="36" xfId="0" applyNumberFormat="1" applyFont="1" applyFill="1" applyBorder="1" applyAlignment="1">
      <alignment horizontal="center" vertical="center" wrapText="1"/>
    </xf>
    <xf numFmtId="0" fontId="7" fillId="7" borderId="58" xfId="0" applyFont="1" applyFill="1" applyBorder="1" applyAlignment="1">
      <alignment horizontal="center" vertical="center" wrapText="1"/>
    </xf>
    <xf numFmtId="1" fontId="7" fillId="3" borderId="34" xfId="0" applyNumberFormat="1" applyFont="1" applyFill="1" applyBorder="1" applyAlignment="1">
      <alignment horizontal="center" vertical="center" wrapText="1"/>
    </xf>
    <xf numFmtId="1" fontId="7" fillId="7" borderId="58" xfId="0" applyNumberFormat="1" applyFont="1" applyFill="1" applyBorder="1" applyAlignment="1">
      <alignment horizontal="center" vertical="center" wrapText="1"/>
    </xf>
    <xf numFmtId="0" fontId="3" fillId="7" borderId="59" xfId="0" applyFont="1" applyFill="1" applyBorder="1" applyAlignment="1">
      <alignment horizontal="center" vertical="center" wrapText="1"/>
    </xf>
    <xf numFmtId="164" fontId="3" fillId="7" borderId="54" xfId="0" applyNumberFormat="1" applyFont="1" applyFill="1" applyBorder="1" applyAlignment="1">
      <alignment horizontal="center" vertical="center" wrapText="1"/>
    </xf>
    <xf numFmtId="2" fontId="7" fillId="7" borderId="34" xfId="0" applyNumberFormat="1" applyFont="1" applyFill="1" applyBorder="1" applyAlignment="1">
      <alignment horizontal="center" vertical="center" wrapText="1"/>
    </xf>
    <xf numFmtId="164" fontId="7" fillId="7" borderId="58" xfId="0" applyNumberFormat="1" applyFont="1" applyFill="1" applyBorder="1" applyAlignment="1">
      <alignment horizontal="center" vertical="center" wrapText="1"/>
    </xf>
    <xf numFmtId="164" fontId="3" fillId="7" borderId="34" xfId="0" applyNumberFormat="1" applyFont="1" applyFill="1" applyBorder="1" applyAlignment="1">
      <alignment horizontal="center" vertical="center" wrapText="1"/>
    </xf>
    <xf numFmtId="0" fontId="3" fillId="7" borderId="62" xfId="0" applyFont="1" applyFill="1" applyBorder="1" applyAlignment="1">
      <alignment horizontal="center" vertical="center" wrapText="1"/>
    </xf>
    <xf numFmtId="164" fontId="3" fillId="7" borderId="2" xfId="0" applyNumberFormat="1" applyFont="1" applyFill="1" applyBorder="1" applyAlignment="1">
      <alignment horizontal="center" vertical="center" wrapText="1"/>
    </xf>
    <xf numFmtId="0" fontId="3" fillId="7" borderId="58" xfId="0" applyFont="1" applyFill="1" applyBorder="1" applyAlignment="1">
      <alignment horizontal="center" vertical="center" wrapText="1"/>
    </xf>
    <xf numFmtId="0" fontId="3" fillId="7" borderId="46" xfId="0" applyFont="1" applyFill="1" applyBorder="1" applyAlignment="1">
      <alignment horizontal="center" vertical="center" wrapText="1"/>
    </xf>
    <xf numFmtId="0" fontId="3" fillId="7" borderId="54" xfId="0" applyFont="1" applyFill="1" applyBorder="1" applyAlignment="1">
      <alignment horizontal="center" vertical="center" wrapText="1"/>
    </xf>
    <xf numFmtId="164" fontId="3" fillId="7" borderId="62" xfId="0" applyNumberFormat="1" applyFont="1" applyFill="1" applyBorder="1" applyAlignment="1">
      <alignment horizontal="center" vertical="center" wrapText="1"/>
    </xf>
    <xf numFmtId="20" fontId="13" fillId="7" borderId="78" xfId="0" applyNumberFormat="1" applyFont="1" applyFill="1" applyBorder="1" applyAlignment="1">
      <alignment horizontal="center" vertical="center" wrapText="1"/>
    </xf>
    <xf numFmtId="0" fontId="6" fillId="7" borderId="51" xfId="0" applyFont="1" applyFill="1" applyBorder="1" applyAlignment="1">
      <alignment horizontal="center" vertical="center" wrapText="1"/>
    </xf>
    <xf numFmtId="46" fontId="3" fillId="7" borderId="2" xfId="0" applyNumberFormat="1" applyFont="1" applyFill="1" applyBorder="1" applyAlignment="1">
      <alignment horizontal="center" vertical="center" wrapText="1"/>
    </xf>
    <xf numFmtId="46" fontId="3" fillId="3" borderId="2" xfId="0" applyNumberFormat="1" applyFont="1" applyFill="1" applyBorder="1" applyAlignment="1">
      <alignment horizontal="center" vertical="center" wrapText="1"/>
    </xf>
    <xf numFmtId="0" fontId="12" fillId="7" borderId="75" xfId="0" applyFont="1" applyFill="1" applyBorder="1" applyAlignment="1">
      <alignment horizontal="left" vertical="center" wrapText="1"/>
    </xf>
    <xf numFmtId="0" fontId="12" fillId="5" borderId="51" xfId="0" applyFont="1" applyFill="1" applyBorder="1" applyAlignment="1">
      <alignment horizontal="center" vertical="center"/>
    </xf>
    <xf numFmtId="164" fontId="6" fillId="3" borderId="61" xfId="0" applyNumberFormat="1" applyFont="1" applyFill="1" applyBorder="1" applyAlignment="1">
      <alignment horizontal="center" vertical="center" wrapText="1"/>
    </xf>
    <xf numFmtId="0" fontId="6" fillId="5" borderId="61" xfId="0" applyFont="1" applyFill="1" applyBorder="1" applyAlignment="1">
      <alignment horizontal="center" vertical="center" wrapText="1"/>
    </xf>
    <xf numFmtId="0" fontId="6" fillId="3" borderId="61" xfId="0" applyFont="1" applyFill="1" applyBorder="1" applyAlignment="1">
      <alignment horizontal="center" vertical="center" wrapText="1"/>
    </xf>
    <xf numFmtId="164" fontId="6" fillId="5" borderId="61" xfId="0" applyNumberFormat="1" applyFont="1" applyFill="1" applyBorder="1" applyAlignment="1">
      <alignment horizontal="center" vertical="center" wrapText="1"/>
    </xf>
    <xf numFmtId="1" fontId="3" fillId="5" borderId="36" xfId="0" applyNumberFormat="1" applyFont="1" applyFill="1" applyBorder="1" applyAlignment="1">
      <alignment horizontal="center" vertical="center" wrapText="1"/>
    </xf>
    <xf numFmtId="1" fontId="7" fillId="5" borderId="34" xfId="0" applyNumberFormat="1" applyFont="1" applyFill="1" applyBorder="1" applyAlignment="1">
      <alignment horizontal="center" vertical="center" wrapText="1"/>
    </xf>
    <xf numFmtId="0" fontId="3" fillId="5" borderId="61" xfId="0" applyFont="1" applyFill="1" applyBorder="1" applyAlignment="1">
      <alignment horizontal="center" vertical="center" wrapText="1"/>
    </xf>
    <xf numFmtId="164" fontId="3" fillId="5" borderId="61" xfId="0" applyNumberFormat="1" applyFont="1" applyFill="1" applyBorder="1" applyAlignment="1">
      <alignment horizontal="center" vertical="center" wrapText="1"/>
    </xf>
    <xf numFmtId="0" fontId="3" fillId="3" borderId="61" xfId="0" quotePrefix="1" applyFont="1" applyFill="1" applyBorder="1" applyAlignment="1">
      <alignment horizontal="center" vertical="center" wrapText="1"/>
    </xf>
    <xf numFmtId="0" fontId="3" fillId="5" borderId="61" xfId="0" quotePrefix="1" applyFont="1" applyFill="1" applyBorder="1" applyAlignment="1">
      <alignment horizontal="center" vertical="center" wrapText="1"/>
    </xf>
    <xf numFmtId="20" fontId="3" fillId="5" borderId="58" xfId="0" applyNumberFormat="1" applyFont="1" applyFill="1" applyBorder="1" applyAlignment="1">
      <alignment horizontal="center" vertical="center" wrapText="1"/>
    </xf>
    <xf numFmtId="0" fontId="3" fillId="7" borderId="59" xfId="0" applyFont="1" applyFill="1" applyBorder="1" applyAlignment="1">
      <alignment horizontal="left" vertical="center" wrapText="1"/>
    </xf>
    <xf numFmtId="0" fontId="11" fillId="3" borderId="34" xfId="0" applyFont="1" applyFill="1" applyBorder="1" applyAlignment="1">
      <alignment horizontal="center" vertical="center" wrapText="1"/>
    </xf>
    <xf numFmtId="0" fontId="11" fillId="7" borderId="34" xfId="0" applyFont="1" applyFill="1" applyBorder="1" applyAlignment="1">
      <alignment horizontal="center" vertical="center" wrapText="1"/>
    </xf>
    <xf numFmtId="0" fontId="11" fillId="7" borderId="48" xfId="0" applyFont="1" applyFill="1" applyBorder="1" applyAlignment="1">
      <alignment horizontal="center" vertical="center" wrapText="1"/>
    </xf>
    <xf numFmtId="0" fontId="6" fillId="7" borderId="61" xfId="0" applyFont="1" applyFill="1" applyBorder="1" applyAlignment="1">
      <alignment horizontal="center" vertical="center" wrapText="1"/>
    </xf>
    <xf numFmtId="164" fontId="6" fillId="7" borderId="61" xfId="0" applyNumberFormat="1" applyFont="1" applyFill="1" applyBorder="1" applyAlignment="1">
      <alignment horizontal="center" vertical="center" wrapText="1"/>
    </xf>
    <xf numFmtId="164" fontId="6" fillId="7" borderId="62" xfId="0" applyNumberFormat="1" applyFont="1" applyFill="1" applyBorder="1" applyAlignment="1">
      <alignment horizontal="center" vertical="center" wrapText="1"/>
    </xf>
    <xf numFmtId="1" fontId="3" fillId="7" borderId="36" xfId="0" applyNumberFormat="1" applyFont="1" applyFill="1" applyBorder="1" applyAlignment="1">
      <alignment horizontal="center" vertical="center" wrapText="1"/>
    </xf>
    <xf numFmtId="1" fontId="3" fillId="7" borderId="46" xfId="0" applyNumberFormat="1" applyFont="1" applyFill="1" applyBorder="1" applyAlignment="1">
      <alignment horizontal="center" vertical="center" wrapText="1"/>
    </xf>
    <xf numFmtId="0" fontId="7" fillId="7" borderId="48" xfId="0" applyFont="1" applyFill="1" applyBorder="1" applyAlignment="1">
      <alignment horizontal="center" vertical="center" wrapText="1"/>
    </xf>
    <xf numFmtId="1" fontId="7" fillId="7" borderId="48" xfId="0" applyNumberFormat="1" applyFont="1" applyFill="1" applyBorder="1" applyAlignment="1">
      <alignment horizontal="center" vertical="center" wrapText="1"/>
    </xf>
    <xf numFmtId="164" fontId="3" fillId="7" borderId="42" xfId="0" applyNumberFormat="1" applyFont="1" applyFill="1" applyBorder="1" applyAlignment="1">
      <alignment horizontal="center" vertical="center" wrapText="1"/>
    </xf>
    <xf numFmtId="164" fontId="3" fillId="7" borderId="48" xfId="0" applyNumberFormat="1" applyFont="1" applyFill="1" applyBorder="1" applyAlignment="1">
      <alignment horizontal="center" vertical="center" wrapText="1"/>
    </xf>
    <xf numFmtId="20" fontId="13" fillId="7" borderId="42" xfId="0" applyNumberFormat="1" applyFont="1" applyFill="1" applyBorder="1" applyAlignment="1">
      <alignment horizontal="center" vertical="center" wrapText="1"/>
    </xf>
    <xf numFmtId="0" fontId="14" fillId="3" borderId="45" xfId="0" applyFont="1" applyFill="1" applyBorder="1" applyAlignment="1">
      <alignment horizontal="center" vertical="center"/>
    </xf>
    <xf numFmtId="0" fontId="14" fillId="7" borderId="36" xfId="0" applyFont="1" applyFill="1" applyBorder="1" applyAlignment="1">
      <alignment horizontal="center" vertical="center"/>
    </xf>
    <xf numFmtId="0" fontId="14" fillId="3" borderId="36" xfId="0" applyFont="1" applyFill="1" applyBorder="1" applyAlignment="1">
      <alignment horizontal="center" vertical="center"/>
    </xf>
    <xf numFmtId="0" fontId="17" fillId="7" borderId="36" xfId="0" applyFont="1" applyFill="1" applyBorder="1" applyAlignment="1">
      <alignment horizontal="center" vertical="center"/>
    </xf>
    <xf numFmtId="0" fontId="17" fillId="3" borderId="36" xfId="0" applyFont="1" applyFill="1" applyBorder="1" applyAlignment="1">
      <alignment horizontal="center" vertical="center"/>
    </xf>
    <xf numFmtId="0" fontId="14" fillId="3" borderId="46" xfId="0" applyFont="1" applyFill="1" applyBorder="1" applyAlignment="1">
      <alignment horizontal="center" vertical="center"/>
    </xf>
    <xf numFmtId="0" fontId="3" fillId="3" borderId="59" xfId="0" applyFont="1" applyFill="1" applyBorder="1" applyAlignment="1">
      <alignment horizontal="left" vertical="center" wrapText="1"/>
    </xf>
    <xf numFmtId="0" fontId="11" fillId="3" borderId="47" xfId="0" applyFont="1" applyFill="1" applyBorder="1" applyAlignment="1">
      <alignment horizontal="center" vertical="center" wrapText="1"/>
    </xf>
    <xf numFmtId="0" fontId="11" fillId="3" borderId="48" xfId="0" applyFont="1" applyFill="1" applyBorder="1" applyAlignment="1">
      <alignment horizontal="center" vertical="center" wrapText="1"/>
    </xf>
    <xf numFmtId="0" fontId="11" fillId="3" borderId="37" xfId="0" applyFont="1" applyFill="1" applyBorder="1" applyAlignment="1">
      <alignment horizontal="center" vertical="center"/>
    </xf>
    <xf numFmtId="0" fontId="11" fillId="7" borderId="61" xfId="0" applyFont="1" applyFill="1" applyBorder="1" applyAlignment="1">
      <alignment horizontal="center" vertical="center"/>
    </xf>
    <xf numFmtId="0" fontId="11" fillId="3" borderId="61" xfId="0" applyFont="1" applyFill="1" applyBorder="1" applyAlignment="1">
      <alignment horizontal="center" vertical="center"/>
    </xf>
    <xf numFmtId="0" fontId="13" fillId="7" borderId="61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3" fillId="3" borderId="51" xfId="0" applyFont="1" applyFill="1" applyBorder="1" applyAlignment="1">
      <alignment horizontal="center" vertical="center" wrapText="1"/>
    </xf>
    <xf numFmtId="0" fontId="16" fillId="5" borderId="64" xfId="0" applyFont="1" applyFill="1" applyBorder="1" applyAlignment="1">
      <alignment horizontal="center" vertical="center" wrapText="1"/>
    </xf>
    <xf numFmtId="0" fontId="16" fillId="5" borderId="65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/>
    </xf>
    <xf numFmtId="0" fontId="18" fillId="7" borderId="61" xfId="0" applyFont="1" applyFill="1" applyBorder="1" applyAlignment="1">
      <alignment horizontal="center" vertical="center"/>
    </xf>
    <xf numFmtId="0" fontId="18" fillId="3" borderId="61" xfId="0" applyFont="1" applyFill="1" applyBorder="1" applyAlignment="1">
      <alignment horizontal="center" vertical="center"/>
    </xf>
    <xf numFmtId="0" fontId="18" fillId="3" borderId="62" xfId="0" applyFont="1" applyFill="1" applyBorder="1" applyAlignment="1">
      <alignment horizontal="center" vertical="center"/>
    </xf>
    <xf numFmtId="0" fontId="19" fillId="3" borderId="49" xfId="0" applyFont="1" applyFill="1" applyBorder="1" applyAlignment="1">
      <alignment horizontal="center" vertical="center" wrapText="1"/>
    </xf>
    <xf numFmtId="164" fontId="19" fillId="7" borderId="50" xfId="0" applyNumberFormat="1" applyFont="1" applyFill="1" applyBorder="1" applyAlignment="1">
      <alignment horizontal="center" vertical="center" wrapText="1"/>
    </xf>
    <xf numFmtId="164" fontId="19" fillId="3" borderId="50" xfId="0" applyNumberFormat="1" applyFont="1" applyFill="1" applyBorder="1" applyAlignment="1">
      <alignment horizontal="center" vertical="center" wrapText="1"/>
    </xf>
    <xf numFmtId="0" fontId="19" fillId="7" borderId="50" xfId="0" applyFont="1" applyFill="1" applyBorder="1" applyAlignment="1">
      <alignment horizontal="center" vertical="center" wrapText="1"/>
    </xf>
    <xf numFmtId="0" fontId="19" fillId="3" borderId="50" xfId="0" applyFont="1" applyFill="1" applyBorder="1" applyAlignment="1">
      <alignment horizontal="center" vertical="center" wrapText="1"/>
    </xf>
    <xf numFmtId="0" fontId="19" fillId="3" borderId="51" xfId="0" applyFont="1" applyFill="1" applyBorder="1" applyAlignment="1">
      <alignment horizontal="center" vertical="center" wrapText="1"/>
    </xf>
    <xf numFmtId="0" fontId="3" fillId="3" borderId="62" xfId="0" applyFont="1" applyFill="1" applyBorder="1" applyAlignment="1">
      <alignment horizontal="center" vertical="center" wrapText="1"/>
    </xf>
    <xf numFmtId="164" fontId="20" fillId="3" borderId="38" xfId="0" applyNumberFormat="1" applyFont="1" applyFill="1" applyBorder="1" applyAlignment="1">
      <alignment horizontal="center" vertical="center" wrapText="1"/>
    </xf>
    <xf numFmtId="0" fontId="20" fillId="7" borderId="39" xfId="0" applyFont="1" applyFill="1" applyBorder="1" applyAlignment="1">
      <alignment horizontal="center" vertical="center" wrapText="1"/>
    </xf>
    <xf numFmtId="164" fontId="20" fillId="7" borderId="39" xfId="0" applyNumberFormat="1" applyFont="1" applyFill="1" applyBorder="1" applyAlignment="1">
      <alignment horizontal="center" vertical="center" wrapText="1"/>
    </xf>
    <xf numFmtId="164" fontId="20" fillId="3" borderId="39" xfId="0" applyNumberFormat="1" applyFont="1" applyFill="1" applyBorder="1" applyAlignment="1">
      <alignment horizontal="center" vertical="center" wrapText="1"/>
    </xf>
    <xf numFmtId="164" fontId="3" fillId="3" borderId="46" xfId="0" applyNumberFormat="1" applyFont="1" applyFill="1" applyBorder="1" applyAlignment="1">
      <alignment horizontal="center" vertical="center" wrapText="1"/>
    </xf>
    <xf numFmtId="164" fontId="3" fillId="3" borderId="59" xfId="0" applyNumberFormat="1" applyFont="1" applyFill="1" applyBorder="1" applyAlignment="1">
      <alignment horizontal="center" vertical="center" wrapText="1"/>
    </xf>
    <xf numFmtId="0" fontId="19" fillId="3" borderId="37" xfId="0" applyFont="1" applyFill="1" applyBorder="1" applyAlignment="1">
      <alignment horizontal="center" vertical="center" wrapText="1"/>
    </xf>
    <xf numFmtId="164" fontId="19" fillId="7" borderId="61" xfId="0" applyNumberFormat="1" applyFont="1" applyFill="1" applyBorder="1" applyAlignment="1">
      <alignment horizontal="center" vertical="center" wrapText="1"/>
    </xf>
    <xf numFmtId="164" fontId="19" fillId="3" borderId="61" xfId="0" applyNumberFormat="1" applyFont="1" applyFill="1" applyBorder="1" applyAlignment="1">
      <alignment horizontal="center" vertical="center" wrapText="1"/>
    </xf>
    <xf numFmtId="0" fontId="19" fillId="7" borderId="61" xfId="0" applyFont="1" applyFill="1" applyBorder="1" applyAlignment="1">
      <alignment horizontal="center" vertical="center" wrapText="1"/>
    </xf>
    <xf numFmtId="0" fontId="19" fillId="3" borderId="61" xfId="0" applyFont="1" applyFill="1" applyBorder="1" applyAlignment="1">
      <alignment horizontal="center" vertical="center" wrapText="1"/>
    </xf>
    <xf numFmtId="0" fontId="19" fillId="3" borderId="62" xfId="0" applyFont="1" applyFill="1" applyBorder="1" applyAlignment="1">
      <alignment horizontal="center" vertical="center" wrapText="1"/>
    </xf>
    <xf numFmtId="164" fontId="20" fillId="3" borderId="42" xfId="0" applyNumberFormat="1" applyFont="1" applyFill="1" applyBorder="1" applyAlignment="1">
      <alignment horizontal="center" vertical="center" wrapText="1"/>
    </xf>
    <xf numFmtId="164" fontId="20" fillId="3" borderId="47" xfId="0" applyNumberFormat="1" applyFont="1" applyFill="1" applyBorder="1" applyAlignment="1">
      <alignment horizontal="center" vertical="center" wrapText="1"/>
    </xf>
    <xf numFmtId="0" fontId="20" fillId="7" borderId="34" xfId="0" applyFont="1" applyFill="1" applyBorder="1" applyAlignment="1">
      <alignment horizontal="center" vertical="center" wrapText="1"/>
    </xf>
    <xf numFmtId="0" fontId="20" fillId="3" borderId="34" xfId="0" applyFont="1" applyFill="1" applyBorder="1" applyAlignment="1">
      <alignment horizontal="center" vertical="center" wrapText="1"/>
    </xf>
    <xf numFmtId="164" fontId="20" fillId="7" borderId="34" xfId="0" applyNumberFormat="1" applyFont="1" applyFill="1" applyBorder="1" applyAlignment="1">
      <alignment horizontal="center" vertical="center" wrapText="1"/>
    </xf>
    <xf numFmtId="164" fontId="20" fillId="3" borderId="34" xfId="0" applyNumberFormat="1" applyFont="1" applyFill="1" applyBorder="1" applyAlignment="1">
      <alignment horizontal="center" vertical="center" wrapText="1"/>
    </xf>
    <xf numFmtId="0" fontId="20" fillId="3" borderId="48" xfId="0" applyFont="1" applyFill="1" applyBorder="1" applyAlignment="1">
      <alignment horizontal="center" vertical="center" wrapText="1"/>
    </xf>
    <xf numFmtId="1" fontId="20" fillId="7" borderId="34" xfId="0" applyNumberFormat="1" applyFont="1" applyFill="1" applyBorder="1" applyAlignment="1">
      <alignment horizontal="center" vertical="center" wrapText="1"/>
    </xf>
    <xf numFmtId="164" fontId="20" fillId="3" borderId="48" xfId="0" applyNumberFormat="1" applyFont="1" applyFill="1" applyBorder="1" applyAlignment="1">
      <alignment horizontal="center" vertical="center" wrapText="1"/>
    </xf>
    <xf numFmtId="1" fontId="3" fillId="3" borderId="59" xfId="0" applyNumberFormat="1" applyFont="1" applyFill="1" applyBorder="1" applyAlignment="1">
      <alignment horizontal="center" vertical="center" wrapText="1"/>
    </xf>
    <xf numFmtId="0" fontId="3" fillId="3" borderId="49" xfId="0" quotePrefix="1" applyFont="1" applyFill="1" applyBorder="1" applyAlignment="1">
      <alignment horizontal="center" vertical="center" wrapText="1"/>
    </xf>
    <xf numFmtId="1" fontId="3" fillId="7" borderId="50" xfId="0" applyNumberFormat="1" applyFont="1" applyFill="1" applyBorder="1" applyAlignment="1">
      <alignment horizontal="center" vertical="center" wrapText="1"/>
    </xf>
    <xf numFmtId="20" fontId="13" fillId="3" borderId="42" xfId="0" applyNumberFormat="1" applyFont="1" applyFill="1" applyBorder="1" applyAlignment="1">
      <alignment horizontal="center" vertical="center" wrapText="1"/>
    </xf>
    <xf numFmtId="0" fontId="3" fillId="3" borderId="47" xfId="0" applyFont="1" applyFill="1" applyBorder="1" applyAlignment="1">
      <alignment horizontal="center" vertical="center" wrapText="1"/>
    </xf>
    <xf numFmtId="0" fontId="3" fillId="3" borderId="58" xfId="0" applyFont="1" applyFill="1" applyBorder="1" applyAlignment="1">
      <alignment horizontal="center" vertical="center" wrapText="1"/>
    </xf>
    <xf numFmtId="0" fontId="3" fillId="3" borderId="63" xfId="0" applyFont="1" applyFill="1" applyBorder="1" applyAlignment="1">
      <alignment horizontal="center" vertical="center" wrapText="1"/>
    </xf>
    <xf numFmtId="0" fontId="3" fillId="3" borderId="48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66" xfId="0" applyFont="1" applyFill="1" applyBorder="1" applyAlignment="1">
      <alignment horizontal="center" vertical="center"/>
    </xf>
    <xf numFmtId="0" fontId="10" fillId="2" borderId="67" xfId="0" applyFont="1" applyFill="1" applyBorder="1" applyAlignment="1">
      <alignment horizontal="center" vertical="center"/>
    </xf>
    <xf numFmtId="0" fontId="16" fillId="7" borderId="20" xfId="0" applyFont="1" applyFill="1" applyBorder="1" applyAlignment="1">
      <alignment horizontal="center" vertical="center" wrapText="1"/>
    </xf>
    <xf numFmtId="0" fontId="16" fillId="7" borderId="22" xfId="0" applyFont="1" applyFill="1" applyBorder="1" applyAlignment="1">
      <alignment horizontal="center" vertical="center" wrapText="1"/>
    </xf>
    <xf numFmtId="0" fontId="23" fillId="7" borderId="15" xfId="0" applyFont="1" applyFill="1" applyBorder="1" applyAlignment="1">
      <alignment horizontal="center" vertical="center" wrapText="1"/>
    </xf>
    <xf numFmtId="0" fontId="23" fillId="7" borderId="26" xfId="0" applyFont="1" applyFill="1" applyBorder="1" applyAlignment="1">
      <alignment horizontal="center" vertical="center" wrapText="1"/>
    </xf>
    <xf numFmtId="0" fontId="16" fillId="7" borderId="35" xfId="0" applyFont="1" applyFill="1" applyBorder="1" applyAlignment="1">
      <alignment horizontal="center" vertical="center" wrapText="1"/>
    </xf>
    <xf numFmtId="0" fontId="16" fillId="7" borderId="32" xfId="0" applyFont="1" applyFill="1" applyBorder="1" applyAlignment="1">
      <alignment horizontal="center" vertical="center" wrapText="1"/>
    </xf>
    <xf numFmtId="0" fontId="16" fillId="7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0" fontId="16" fillId="7" borderId="19" xfId="0" applyFont="1" applyFill="1" applyBorder="1" applyAlignment="1">
      <alignment horizontal="center" vertical="center" wrapText="1"/>
    </xf>
    <xf numFmtId="0" fontId="16" fillId="7" borderId="21" xfId="0" applyFont="1" applyFill="1" applyBorder="1" applyAlignment="1">
      <alignment horizontal="center" vertical="center" wrapText="1"/>
    </xf>
    <xf numFmtId="0" fontId="16" fillId="7" borderId="23" xfId="0" applyFont="1" applyFill="1" applyBorder="1" applyAlignment="1">
      <alignment horizontal="center" vertical="center" wrapText="1"/>
    </xf>
    <xf numFmtId="0" fontId="16" fillId="7" borderId="33" xfId="0" applyFont="1" applyFill="1" applyBorder="1" applyAlignment="1">
      <alignment horizontal="center" vertical="center" wrapText="1"/>
    </xf>
    <xf numFmtId="0" fontId="16" fillId="7" borderId="18" xfId="0" applyFont="1" applyFill="1" applyBorder="1" applyAlignment="1">
      <alignment horizontal="center" vertical="center" wrapText="1"/>
    </xf>
    <xf numFmtId="0" fontId="24" fillId="7" borderId="55" xfId="0" applyFont="1" applyFill="1" applyBorder="1" applyAlignment="1">
      <alignment horizontal="center" vertical="center" wrapText="1"/>
    </xf>
    <xf numFmtId="0" fontId="24" fillId="7" borderId="56" xfId="0" applyFont="1" applyFill="1" applyBorder="1" applyAlignment="1">
      <alignment horizontal="center" vertical="center" wrapText="1"/>
    </xf>
    <xf numFmtId="0" fontId="16" fillId="7" borderId="15" xfId="0" applyFont="1" applyFill="1" applyBorder="1" applyAlignment="1">
      <alignment horizontal="center" vertical="center" wrapText="1"/>
    </xf>
    <xf numFmtId="0" fontId="16" fillId="7" borderId="26" xfId="0" applyFont="1" applyFill="1" applyBorder="1" applyAlignment="1">
      <alignment horizontal="center" vertical="center" wrapText="1"/>
    </xf>
    <xf numFmtId="0" fontId="22" fillId="7" borderId="64" xfId="0" applyFont="1" applyFill="1" applyBorder="1" applyAlignment="1">
      <alignment horizontal="center" vertical="center" wrapText="1"/>
    </xf>
    <xf numFmtId="0" fontId="22" fillId="7" borderId="72" xfId="0" applyFont="1" applyFill="1" applyBorder="1" applyAlignment="1">
      <alignment horizontal="center" vertical="center" wrapText="1"/>
    </xf>
    <xf numFmtId="0" fontId="22" fillId="7" borderId="65" xfId="0" applyFont="1" applyFill="1" applyBorder="1" applyAlignment="1">
      <alignment horizontal="center" vertical="center" wrapText="1"/>
    </xf>
    <xf numFmtId="0" fontId="22" fillId="7" borderId="73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3" borderId="75" xfId="0" applyFont="1" applyFill="1" applyBorder="1" applyAlignment="1">
      <alignment horizontal="left" vertical="center" wrapText="1"/>
    </xf>
    <xf numFmtId="0" fontId="11" fillId="3" borderId="5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50" xfId="0" applyFont="1" applyFill="1" applyBorder="1" applyAlignment="1">
      <alignment horizontal="center" vertical="center" wrapText="1"/>
    </xf>
    <xf numFmtId="0" fontId="1" fillId="3" borderId="40" xfId="0" applyFont="1" applyFill="1" applyBorder="1" applyAlignment="1">
      <alignment horizontal="center" vertical="center"/>
    </xf>
    <xf numFmtId="0" fontId="1" fillId="3" borderId="68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0" fillId="2" borderId="5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24" fillId="7" borderId="70" xfId="0" applyFont="1" applyFill="1" applyBorder="1" applyAlignment="1">
      <alignment horizontal="center" vertical="center" wrapText="1"/>
    </xf>
    <xf numFmtId="0" fontId="24" fillId="7" borderId="71" xfId="0" applyFont="1" applyFill="1" applyBorder="1" applyAlignment="1">
      <alignment horizontal="center" vertical="center" wrapText="1"/>
    </xf>
    <xf numFmtId="0" fontId="16" fillId="7" borderId="14" xfId="0" applyFont="1" applyFill="1" applyBorder="1" applyAlignment="1">
      <alignment horizontal="center" vertical="center" wrapText="1"/>
    </xf>
    <xf numFmtId="0" fontId="23" fillId="7" borderId="23" xfId="0" applyFont="1" applyFill="1" applyBorder="1" applyAlignment="1">
      <alignment horizontal="center" vertical="center" wrapText="1"/>
    </xf>
    <xf numFmtId="0" fontId="23" fillId="7" borderId="33" xfId="0" applyFont="1" applyFill="1" applyBorder="1" applyAlignment="1">
      <alignment horizontal="center" vertical="center" wrapText="1"/>
    </xf>
    <xf numFmtId="0" fontId="24" fillId="7" borderId="64" xfId="0" applyFont="1" applyFill="1" applyBorder="1" applyAlignment="1">
      <alignment horizontal="center" vertical="center" wrapText="1"/>
    </xf>
    <xf numFmtId="0" fontId="24" fillId="7" borderId="65" xfId="0" applyFont="1" applyFill="1" applyBorder="1" applyAlignment="1">
      <alignment horizontal="center" vertical="center" wrapText="1"/>
    </xf>
    <xf numFmtId="0" fontId="6" fillId="7" borderId="50" xfId="0" applyFont="1" applyFill="1" applyBorder="1" applyAlignment="1">
      <alignment horizontal="center" vertical="center" wrapText="1"/>
    </xf>
    <xf numFmtId="0" fontId="1" fillId="7" borderId="79" xfId="0" applyFont="1" applyFill="1" applyBorder="1" applyAlignment="1">
      <alignment horizontal="center" vertical="center"/>
    </xf>
    <xf numFmtId="0" fontId="1" fillId="7" borderId="68" xfId="0" applyFont="1" applyFill="1" applyBorder="1" applyAlignment="1">
      <alignment horizontal="center" vertical="center"/>
    </xf>
    <xf numFmtId="0" fontId="1" fillId="7" borderId="40" xfId="0" applyFont="1" applyFill="1" applyBorder="1" applyAlignment="1">
      <alignment horizontal="center" vertical="center"/>
    </xf>
    <xf numFmtId="0" fontId="3" fillId="7" borderId="75" xfId="0" applyFont="1" applyFill="1" applyBorder="1" applyAlignment="1">
      <alignment horizontal="left" vertical="center" wrapText="1"/>
    </xf>
    <xf numFmtId="0" fontId="11" fillId="7" borderId="2" xfId="0" applyFont="1" applyFill="1" applyBorder="1" applyAlignment="1">
      <alignment horizontal="center" vertical="center" wrapText="1"/>
    </xf>
    <xf numFmtId="164" fontId="6" fillId="7" borderId="2" xfId="0" applyNumberFormat="1" applyFont="1" applyFill="1" applyBorder="1" applyAlignment="1">
      <alignment horizontal="center" vertical="center" wrapText="1"/>
    </xf>
    <xf numFmtId="164" fontId="6" fillId="7" borderId="50" xfId="0" applyNumberFormat="1" applyFont="1" applyFill="1" applyBorder="1" applyAlignment="1">
      <alignment horizontal="center" vertical="center" wrapText="1"/>
    </xf>
    <xf numFmtId="0" fontId="16" fillId="7" borderId="16" xfId="0" applyFont="1" applyFill="1" applyBorder="1" applyAlignment="1">
      <alignment horizontal="center" vertical="center" wrapText="1"/>
    </xf>
    <xf numFmtId="0" fontId="16" fillId="7" borderId="27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1" fillId="7" borderId="41" xfId="0" applyFont="1" applyFill="1" applyBorder="1" applyAlignment="1">
      <alignment horizontal="center" vertical="center"/>
    </xf>
    <xf numFmtId="0" fontId="3" fillId="7" borderId="76" xfId="0" applyFont="1" applyFill="1" applyBorder="1" applyAlignment="1">
      <alignment horizontal="left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58" xfId="0" applyFont="1" applyFill="1" applyBorder="1" applyAlignment="1">
      <alignment horizontal="center" vertical="center" wrapText="1"/>
    </xf>
    <xf numFmtId="0" fontId="6" fillId="5" borderId="61" xfId="0" applyFont="1" applyFill="1" applyBorder="1" applyAlignment="1">
      <alignment horizontal="center" vertical="center" wrapText="1"/>
    </xf>
    <xf numFmtId="0" fontId="6" fillId="5" borderId="62" xfId="0" applyFont="1" applyFill="1" applyBorder="1" applyAlignment="1">
      <alignment horizontal="center" vertical="center" wrapText="1"/>
    </xf>
    <xf numFmtId="164" fontId="6" fillId="5" borderId="50" xfId="0" applyNumberFormat="1" applyFont="1" applyFill="1" applyBorder="1" applyAlignment="1">
      <alignment horizontal="center" vertical="center" wrapText="1"/>
    </xf>
    <xf numFmtId="164" fontId="6" fillId="5" borderId="5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A2D"/>
      <color rgb="FFFF6600"/>
      <color rgb="FFFF6F0D"/>
      <color rgb="FF000046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jpe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200025</xdr:colOff>
      <xdr:row>0</xdr:row>
      <xdr:rowOff>19050</xdr:rowOff>
    </xdr:from>
    <xdr:to>
      <xdr:col>2</xdr:col>
      <xdr:colOff>219075</xdr:colOff>
      <xdr:row>3</xdr:row>
      <xdr:rowOff>264416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F8F549DC-E7B8-499A-B9E6-5201E40FD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19050"/>
          <a:ext cx="1552575" cy="7025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142876</xdr:colOff>
      <xdr:row>0</xdr:row>
      <xdr:rowOff>68660</xdr:rowOff>
    </xdr:from>
    <xdr:to>
      <xdr:col>24</xdr:col>
      <xdr:colOff>257175</xdr:colOff>
      <xdr:row>3</xdr:row>
      <xdr:rowOff>275097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C82FFAD-97F2-4104-A958-C9C559D36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10626" y="68660"/>
          <a:ext cx="1419224" cy="6636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200025</xdr:colOff>
      <xdr:row>0</xdr:row>
      <xdr:rowOff>19050</xdr:rowOff>
    </xdr:from>
    <xdr:to>
      <xdr:col>2</xdr:col>
      <xdr:colOff>219075</xdr:colOff>
      <xdr:row>3</xdr:row>
      <xdr:rowOff>264416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F81EB23-773F-47D4-AD51-64CCA746B207}"/>
            </a:ext>
            <a:ext uri="{147F2762-F138-4A5C-976F-8EAC2B608ADB}">
              <a16:predDERef xmlns:a16="http://schemas.microsoft.com/office/drawing/2014/main" pred="{108112CA-C6E4-4C98-92C2-E507D5A486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19050"/>
          <a:ext cx="1552575" cy="7025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142876</xdr:colOff>
      <xdr:row>0</xdr:row>
      <xdr:rowOff>68660</xdr:rowOff>
    </xdr:from>
    <xdr:to>
      <xdr:col>24</xdr:col>
      <xdr:colOff>304800</xdr:colOff>
      <xdr:row>3</xdr:row>
      <xdr:rowOff>275097</xdr:rowOff>
    </xdr:to>
    <xdr:pic>
      <xdr:nvPicPr>
        <xdr:cNvPr id="3" name="Imagen 10">
          <a:extLst>
            <a:ext uri="{FF2B5EF4-FFF2-40B4-BE49-F238E27FC236}">
              <a16:creationId xmlns:a16="http://schemas.microsoft.com/office/drawing/2014/main" id="{263E7717-464F-4947-A04D-54B870255CA4}"/>
            </a:ext>
            <a:ext uri="{147F2762-F138-4A5C-976F-8EAC2B608ADB}">
              <a16:predDERef xmlns:a16="http://schemas.microsoft.com/office/drawing/2014/main" pred="{FF81EB23-773F-47D4-AD51-64CCA746B2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10626" y="68660"/>
          <a:ext cx="1419224" cy="66363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200025</xdr:colOff>
      <xdr:row>0</xdr:row>
      <xdr:rowOff>19050</xdr:rowOff>
    </xdr:from>
    <xdr:to>
      <xdr:col>2</xdr:col>
      <xdr:colOff>219075</xdr:colOff>
      <xdr:row>3</xdr:row>
      <xdr:rowOff>264416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C964D838-CB4F-48E4-8AFC-CB55664900B5}"/>
            </a:ext>
            <a:ext uri="{147F2762-F138-4A5C-976F-8EAC2B608ADB}">
              <a16:predDERef xmlns:a16="http://schemas.microsoft.com/office/drawing/2014/main" pred="{6F004EC3-1B8C-4E17-976F-4444893BD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19050"/>
          <a:ext cx="1552575" cy="7025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142876</xdr:colOff>
      <xdr:row>0</xdr:row>
      <xdr:rowOff>68660</xdr:rowOff>
    </xdr:from>
    <xdr:to>
      <xdr:col>24</xdr:col>
      <xdr:colOff>314325</xdr:colOff>
      <xdr:row>3</xdr:row>
      <xdr:rowOff>275097</xdr:rowOff>
    </xdr:to>
    <xdr:pic>
      <xdr:nvPicPr>
        <xdr:cNvPr id="5" name="Imagen 10">
          <a:extLst>
            <a:ext uri="{FF2B5EF4-FFF2-40B4-BE49-F238E27FC236}">
              <a16:creationId xmlns:a16="http://schemas.microsoft.com/office/drawing/2014/main" id="{7E5D5746-7590-4E8C-9A84-468AB62517D6}"/>
            </a:ext>
            <a:ext uri="{147F2762-F138-4A5C-976F-8EAC2B608ADB}">
              <a16:predDERef xmlns:a16="http://schemas.microsoft.com/office/drawing/2014/main" pred="{C964D838-CB4F-48E4-8AFC-CB5566490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10626" y="68660"/>
          <a:ext cx="1419224" cy="66363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200025</xdr:colOff>
      <xdr:row>0</xdr:row>
      <xdr:rowOff>19050</xdr:rowOff>
    </xdr:from>
    <xdr:to>
      <xdr:col>2</xdr:col>
      <xdr:colOff>219075</xdr:colOff>
      <xdr:row>3</xdr:row>
      <xdr:rowOff>264416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B50D9565-0859-4101-A234-4FA0430FEC00}"/>
            </a:ext>
            <a:ext uri="{147F2762-F138-4A5C-976F-8EAC2B608ADB}">
              <a16:predDERef xmlns:a16="http://schemas.microsoft.com/office/drawing/2014/main" pred="{AAA91C9D-6AEB-43EB-B08C-EB9ACE4284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19050"/>
          <a:ext cx="1552575" cy="7025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142876</xdr:colOff>
      <xdr:row>0</xdr:row>
      <xdr:rowOff>68660</xdr:rowOff>
    </xdr:from>
    <xdr:to>
      <xdr:col>24</xdr:col>
      <xdr:colOff>238125</xdr:colOff>
      <xdr:row>3</xdr:row>
      <xdr:rowOff>275097</xdr:rowOff>
    </xdr:to>
    <xdr:pic>
      <xdr:nvPicPr>
        <xdr:cNvPr id="5" name="Imagen 10">
          <a:extLst>
            <a:ext uri="{FF2B5EF4-FFF2-40B4-BE49-F238E27FC236}">
              <a16:creationId xmlns:a16="http://schemas.microsoft.com/office/drawing/2014/main" id="{FC53C333-A209-4531-95A5-0D4FEA3A736A}"/>
            </a:ext>
            <a:ext uri="{147F2762-F138-4A5C-976F-8EAC2B608ADB}">
              <a16:predDERef xmlns:a16="http://schemas.microsoft.com/office/drawing/2014/main" pred="{B50D9565-0859-4101-A234-4FA0430FE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10626" y="68660"/>
          <a:ext cx="1419224" cy="66363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200025</xdr:colOff>
      <xdr:row>0</xdr:row>
      <xdr:rowOff>19050</xdr:rowOff>
    </xdr:from>
    <xdr:to>
      <xdr:col>2</xdr:col>
      <xdr:colOff>276225</xdr:colOff>
      <xdr:row>3</xdr:row>
      <xdr:rowOff>264416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3E617500-F234-47F5-B69F-B505AFCAC354}"/>
            </a:ext>
            <a:ext uri="{147F2762-F138-4A5C-976F-8EAC2B608ADB}">
              <a16:predDERef xmlns:a16="http://schemas.microsoft.com/office/drawing/2014/main" pred="{21E0A7F5-BB57-4D86-A2C9-7339981C1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19050"/>
          <a:ext cx="1552575" cy="7025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142876</xdr:colOff>
      <xdr:row>0</xdr:row>
      <xdr:rowOff>68660</xdr:rowOff>
    </xdr:from>
    <xdr:to>
      <xdr:col>24</xdr:col>
      <xdr:colOff>304800</xdr:colOff>
      <xdr:row>3</xdr:row>
      <xdr:rowOff>275097</xdr:rowOff>
    </xdr:to>
    <xdr:pic>
      <xdr:nvPicPr>
        <xdr:cNvPr id="5" name="Imagen 10">
          <a:extLst>
            <a:ext uri="{FF2B5EF4-FFF2-40B4-BE49-F238E27FC236}">
              <a16:creationId xmlns:a16="http://schemas.microsoft.com/office/drawing/2014/main" id="{91D87977-46D2-4111-A652-C9A92EE5B2D6}"/>
            </a:ext>
            <a:ext uri="{147F2762-F138-4A5C-976F-8EAC2B608ADB}">
              <a16:predDERef xmlns:a16="http://schemas.microsoft.com/office/drawing/2014/main" pred="{3E617500-F234-47F5-B69F-B505AFCAC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10626" y="68660"/>
          <a:ext cx="1419224" cy="66363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287548</xdr:colOff>
      <xdr:row>0</xdr:row>
      <xdr:rowOff>33046</xdr:rowOff>
    </xdr:from>
    <xdr:to>
      <xdr:col>23</xdr:col>
      <xdr:colOff>169796</xdr:colOff>
      <xdr:row>3</xdr:row>
      <xdr:rowOff>287036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5ECC848-E463-4719-83F9-B3A0AB811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02925" y="33046"/>
          <a:ext cx="1212154" cy="713886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0</xdr:row>
      <xdr:rowOff>19050</xdr:rowOff>
    </xdr:from>
    <xdr:to>
      <xdr:col>2</xdr:col>
      <xdr:colOff>228600</xdr:colOff>
      <xdr:row>3</xdr:row>
      <xdr:rowOff>264416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42C805BD-CA3D-4C00-AA6B-D083CAB50708}"/>
            </a:ext>
            <a:ext uri="{147F2762-F138-4A5C-976F-8EAC2B608ADB}">
              <a16:predDERef xmlns:a16="http://schemas.microsoft.com/office/drawing/2014/main" pred="{E5ECC848-E463-4719-83F9-B3A0AB811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19050"/>
          <a:ext cx="1552575" cy="7025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142876</xdr:colOff>
      <xdr:row>0</xdr:row>
      <xdr:rowOff>68660</xdr:rowOff>
    </xdr:from>
    <xdr:to>
      <xdr:col>24</xdr:col>
      <xdr:colOff>228600</xdr:colOff>
      <xdr:row>3</xdr:row>
      <xdr:rowOff>275097</xdr:rowOff>
    </xdr:to>
    <xdr:pic>
      <xdr:nvPicPr>
        <xdr:cNvPr id="5" name="Imagen 10">
          <a:extLst>
            <a:ext uri="{FF2B5EF4-FFF2-40B4-BE49-F238E27FC236}">
              <a16:creationId xmlns:a16="http://schemas.microsoft.com/office/drawing/2014/main" id="{8B4649BF-9317-4527-9AD6-0137A2C9E465}"/>
            </a:ext>
            <a:ext uri="{147F2762-F138-4A5C-976F-8EAC2B608ADB}">
              <a16:predDERef xmlns:a16="http://schemas.microsoft.com/office/drawing/2014/main" pred="{42C805BD-CA3D-4C00-AA6B-D083CAB50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686801" y="68660"/>
          <a:ext cx="1419224" cy="6636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0420F-7338-4CBE-A499-FB740F8FDAFA}">
  <dimension ref="A1:AA29"/>
  <sheetViews>
    <sheetView zoomScaleNormal="100" workbookViewId="0"/>
  </sheetViews>
  <sheetFormatPr defaultColWidth="9.140625" defaultRowHeight="15"/>
  <cols>
    <col min="1" max="1" width="4.7109375" customWidth="1"/>
    <col min="2" max="2" width="23" customWidth="1"/>
    <col min="3" max="3" width="7.140625" customWidth="1"/>
    <col min="4" max="4" width="13.85546875" customWidth="1"/>
    <col min="5" max="5" width="5" customWidth="1"/>
    <col min="6" max="6" width="6.140625" customWidth="1"/>
    <col min="7" max="7" width="4.85546875" customWidth="1"/>
    <col min="8" max="8" width="4.7109375" customWidth="1"/>
    <col min="9" max="9" width="5.7109375" customWidth="1"/>
    <col min="10" max="10" width="4.85546875" customWidth="1"/>
    <col min="11" max="11" width="4.7109375" customWidth="1"/>
    <col min="12" max="12" width="5.7109375" customWidth="1"/>
    <col min="13" max="14" width="4.7109375" customWidth="1"/>
    <col min="15" max="15" width="5.7109375" customWidth="1"/>
    <col min="16" max="17" width="4.7109375" customWidth="1"/>
    <col min="18" max="18" width="4.85546875" customWidth="1"/>
    <col min="19" max="19" width="5.140625" customWidth="1"/>
    <col min="20" max="20" width="5" customWidth="1"/>
    <col min="21" max="21" width="4.85546875" customWidth="1"/>
    <col min="22" max="23" width="4.7109375" customWidth="1"/>
    <col min="24" max="24" width="5.28515625" customWidth="1"/>
    <col min="25" max="25" width="5.7109375" customWidth="1"/>
    <col min="26" max="26" width="6" customWidth="1"/>
    <col min="27" max="27" width="4.7109375" customWidth="1"/>
    <col min="28" max="255" width="11.42578125" customWidth="1"/>
  </cols>
  <sheetData>
    <row r="1" spans="1:27" ht="12" customHeight="1">
      <c r="A1" s="289" t="s">
        <v>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6"/>
    </row>
    <row r="2" spans="1:27" ht="12" customHeight="1">
      <c r="A2" s="291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7"/>
    </row>
    <row r="3" spans="1:27" ht="12" customHeight="1">
      <c r="A3" s="291"/>
      <c r="B3" s="292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7"/>
    </row>
    <row r="4" spans="1:27" ht="24" customHeight="1">
      <c r="A4" s="293" t="s">
        <v>1</v>
      </c>
      <c r="B4" s="294"/>
      <c r="C4" s="294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7"/>
    </row>
    <row r="5" spans="1:27" ht="15.75" customHeight="1">
      <c r="A5" s="312" t="s">
        <v>2</v>
      </c>
      <c r="B5" s="313"/>
      <c r="C5" s="305" t="s">
        <v>3</v>
      </c>
      <c r="D5" s="308" t="s">
        <v>4</v>
      </c>
      <c r="E5" s="299" t="s">
        <v>5</v>
      </c>
      <c r="F5" s="310" t="s">
        <v>6</v>
      </c>
      <c r="G5" s="301" t="s">
        <v>7</v>
      </c>
      <c r="H5" s="302"/>
      <c r="I5" s="303"/>
      <c r="J5" s="301" t="s">
        <v>8</v>
      </c>
      <c r="K5" s="302"/>
      <c r="L5" s="303"/>
      <c r="M5" s="301" t="s">
        <v>9</v>
      </c>
      <c r="N5" s="302"/>
      <c r="O5" s="303"/>
      <c r="P5" s="295" t="s">
        <v>10</v>
      </c>
      <c r="Q5" s="304"/>
      <c r="R5" s="296"/>
      <c r="S5" s="305" t="s">
        <v>11</v>
      </c>
      <c r="T5" s="305" t="s">
        <v>12</v>
      </c>
      <c r="U5" s="307" t="s">
        <v>13</v>
      </c>
      <c r="V5" s="303"/>
      <c r="W5" s="295" t="s">
        <v>14</v>
      </c>
      <c r="X5" s="296"/>
      <c r="Y5" s="297" t="s">
        <v>15</v>
      </c>
      <c r="Z5" s="299" t="s">
        <v>16</v>
      </c>
      <c r="AA5" s="7"/>
    </row>
    <row r="6" spans="1:27" ht="18" customHeight="1">
      <c r="A6" s="314"/>
      <c r="B6" s="315"/>
      <c r="C6" s="306"/>
      <c r="D6" s="309"/>
      <c r="E6" s="300"/>
      <c r="F6" s="311"/>
      <c r="G6" s="17" t="s">
        <v>17</v>
      </c>
      <c r="H6" s="18" t="s">
        <v>18</v>
      </c>
      <c r="I6" s="21" t="s">
        <v>19</v>
      </c>
      <c r="J6" s="17" t="s">
        <v>17</v>
      </c>
      <c r="K6" s="18" t="s">
        <v>18</v>
      </c>
      <c r="L6" s="21" t="s">
        <v>19</v>
      </c>
      <c r="M6" s="17" t="s">
        <v>17</v>
      </c>
      <c r="N6" s="18" t="s">
        <v>18</v>
      </c>
      <c r="O6" s="21" t="s">
        <v>19</v>
      </c>
      <c r="P6" s="68" t="s">
        <v>20</v>
      </c>
      <c r="Q6" s="22" t="s">
        <v>21</v>
      </c>
      <c r="R6" s="69" t="s">
        <v>22</v>
      </c>
      <c r="S6" s="306"/>
      <c r="T6" s="306"/>
      <c r="U6" s="20" t="s">
        <v>23</v>
      </c>
      <c r="V6" s="21" t="s">
        <v>24</v>
      </c>
      <c r="W6" s="68" t="s">
        <v>25</v>
      </c>
      <c r="X6" s="69" t="s">
        <v>26</v>
      </c>
      <c r="Y6" s="298"/>
      <c r="Z6" s="300"/>
      <c r="AA6" s="7"/>
    </row>
    <row r="7" spans="1:27" ht="18.75" customHeight="1">
      <c r="A7" s="28">
        <v>1</v>
      </c>
      <c r="B7" s="130" t="s">
        <v>27</v>
      </c>
      <c r="C7" s="134" t="s">
        <v>28</v>
      </c>
      <c r="D7" s="38" t="s">
        <v>29</v>
      </c>
      <c r="E7" s="34">
        <v>22</v>
      </c>
      <c r="F7" s="49">
        <v>20.8</v>
      </c>
      <c r="G7" s="42">
        <f>110/22</f>
        <v>5</v>
      </c>
      <c r="H7" s="24">
        <f>187/22</f>
        <v>8.5</v>
      </c>
      <c r="I7" s="59">
        <v>58.8</v>
      </c>
      <c r="J7" s="42">
        <f>37/22</f>
        <v>1.6818181818181819</v>
      </c>
      <c r="K7" s="24">
        <f>91/22</f>
        <v>4.1363636363636367</v>
      </c>
      <c r="L7" s="59">
        <v>40.700000000000003</v>
      </c>
      <c r="M7" s="42">
        <f>126/22</f>
        <v>5.7272727272727275</v>
      </c>
      <c r="N7" s="24">
        <f>154/22</f>
        <v>7</v>
      </c>
      <c r="O7" s="77">
        <v>81.8</v>
      </c>
      <c r="P7" s="42">
        <v>2.2999999999999998</v>
      </c>
      <c r="Q7" s="23">
        <v>0.6</v>
      </c>
      <c r="R7" s="79">
        <v>2.9</v>
      </c>
      <c r="S7" s="96">
        <v>3.3</v>
      </c>
      <c r="T7" s="96">
        <v>0</v>
      </c>
      <c r="U7" s="55">
        <v>3.5</v>
      </c>
      <c r="V7" s="108">
        <v>1.3</v>
      </c>
      <c r="W7" s="42">
        <v>1.3</v>
      </c>
      <c r="X7" s="104" t="s">
        <v>30</v>
      </c>
      <c r="Y7" s="118" t="s">
        <v>31</v>
      </c>
      <c r="Z7" s="112">
        <v>21.5</v>
      </c>
      <c r="AA7" s="7"/>
    </row>
    <row r="8" spans="1:27" ht="18.75" customHeight="1">
      <c r="A8" s="29">
        <v>2</v>
      </c>
      <c r="B8" s="131" t="s">
        <v>32</v>
      </c>
      <c r="C8" s="135" t="s">
        <v>28</v>
      </c>
      <c r="D8" s="39" t="s">
        <v>33</v>
      </c>
      <c r="E8" s="35">
        <v>20</v>
      </c>
      <c r="F8" s="50">
        <v>18.7</v>
      </c>
      <c r="G8" s="43">
        <f>108/19</f>
        <v>5.6842105263157894</v>
      </c>
      <c r="H8" s="9">
        <f>187/19</f>
        <v>9.8421052631578956</v>
      </c>
      <c r="I8" s="60">
        <v>58.2</v>
      </c>
      <c r="J8" s="43">
        <v>1.6</v>
      </c>
      <c r="K8" s="9">
        <v>4.4000000000000004</v>
      </c>
      <c r="L8" s="60">
        <v>36.4</v>
      </c>
      <c r="M8" s="43">
        <v>2.5</v>
      </c>
      <c r="N8" s="9">
        <v>3.4</v>
      </c>
      <c r="O8" s="60">
        <v>73.5</v>
      </c>
      <c r="P8" s="43">
        <v>4.5999999999999996</v>
      </c>
      <c r="Q8" s="8">
        <v>0.8</v>
      </c>
      <c r="R8" s="80">
        <v>5.4</v>
      </c>
      <c r="S8" s="97">
        <v>5.6</v>
      </c>
      <c r="T8" s="97">
        <v>0.2</v>
      </c>
      <c r="U8" s="32">
        <v>2.2000000000000002</v>
      </c>
      <c r="V8" s="109">
        <v>1.3</v>
      </c>
      <c r="W8" s="43">
        <v>2.8</v>
      </c>
      <c r="X8" s="105" t="s">
        <v>30</v>
      </c>
      <c r="Y8" s="119">
        <v>34.700000000000003</v>
      </c>
      <c r="Z8" s="113">
        <v>20.8</v>
      </c>
      <c r="AA8" s="7"/>
    </row>
    <row r="9" spans="1:27" ht="18.75" customHeight="1">
      <c r="A9" s="28">
        <v>3</v>
      </c>
      <c r="B9" s="132" t="s">
        <v>34</v>
      </c>
      <c r="C9" s="136" t="s">
        <v>28</v>
      </c>
      <c r="D9" s="40" t="s">
        <v>35</v>
      </c>
      <c r="E9" s="36">
        <v>13</v>
      </c>
      <c r="F9" s="51">
        <v>16</v>
      </c>
      <c r="G9" s="44">
        <f>33/13</f>
        <v>2.5384615384615383</v>
      </c>
      <c r="H9" s="2">
        <f>67/13</f>
        <v>5.1538461538461542</v>
      </c>
      <c r="I9" s="61">
        <v>49.3</v>
      </c>
      <c r="J9" s="44">
        <f>32/13</f>
        <v>2.4615384615384617</v>
      </c>
      <c r="K9" s="2">
        <f>80/13</f>
        <v>6.1538461538461542</v>
      </c>
      <c r="L9" s="61">
        <v>40</v>
      </c>
      <c r="M9" s="44">
        <f>46/13</f>
        <v>3.5384615384615383</v>
      </c>
      <c r="N9" s="2">
        <f>59/13</f>
        <v>4.5384615384615383</v>
      </c>
      <c r="O9" s="61">
        <v>78</v>
      </c>
      <c r="P9" s="71">
        <v>2.4</v>
      </c>
      <c r="Q9" s="1">
        <v>0.5</v>
      </c>
      <c r="R9" s="81">
        <v>3.8</v>
      </c>
      <c r="S9" s="100">
        <v>5.6</v>
      </c>
      <c r="T9" s="98">
        <v>0</v>
      </c>
      <c r="U9" s="57">
        <v>3</v>
      </c>
      <c r="V9" s="110">
        <v>1.3</v>
      </c>
      <c r="W9" s="71">
        <v>2.1</v>
      </c>
      <c r="X9" s="106" t="s">
        <v>30</v>
      </c>
      <c r="Y9" s="120" t="s">
        <v>36</v>
      </c>
      <c r="Z9" s="114">
        <v>18.8</v>
      </c>
      <c r="AA9" s="7"/>
    </row>
    <row r="10" spans="1:27" ht="18.75" customHeight="1">
      <c r="A10" s="29">
        <v>4</v>
      </c>
      <c r="B10" s="131" t="s">
        <v>37</v>
      </c>
      <c r="C10" s="135" t="s">
        <v>28</v>
      </c>
      <c r="D10" s="39" t="s">
        <v>38</v>
      </c>
      <c r="E10" s="35">
        <v>11</v>
      </c>
      <c r="F10" s="50">
        <v>15.7</v>
      </c>
      <c r="G10" s="43">
        <f>34/11</f>
        <v>3.0909090909090908</v>
      </c>
      <c r="H10" s="9">
        <f>76/11</f>
        <v>6.9090909090909092</v>
      </c>
      <c r="I10" s="60">
        <v>44.7</v>
      </c>
      <c r="J10" s="43">
        <f>24/11</f>
        <v>2.1818181818181817</v>
      </c>
      <c r="K10" s="9">
        <f>72/11</f>
        <v>6.5454545454545459</v>
      </c>
      <c r="L10" s="60">
        <v>33.299999999999997</v>
      </c>
      <c r="M10" s="43">
        <f>33/11</f>
        <v>3</v>
      </c>
      <c r="N10" s="9">
        <f>40/11</f>
        <v>3.6363636363636362</v>
      </c>
      <c r="O10" s="60">
        <v>82.5</v>
      </c>
      <c r="P10" s="73">
        <v>4.4000000000000004</v>
      </c>
      <c r="Q10" s="9">
        <v>0.6</v>
      </c>
      <c r="R10" s="80">
        <v>5</v>
      </c>
      <c r="S10" s="101">
        <v>4</v>
      </c>
      <c r="T10" s="99">
        <v>0.3</v>
      </c>
      <c r="U10" s="32">
        <v>2.2999999999999998</v>
      </c>
      <c r="V10" s="109">
        <v>1.7</v>
      </c>
      <c r="W10" s="73">
        <v>1.8</v>
      </c>
      <c r="X10" s="105" t="s">
        <v>30</v>
      </c>
      <c r="Y10" s="119" t="s">
        <v>36</v>
      </c>
      <c r="Z10" s="113">
        <v>16.399999999999999</v>
      </c>
      <c r="AA10" s="7"/>
    </row>
    <row r="11" spans="1:27" ht="18.75" customHeight="1">
      <c r="A11" s="28">
        <v>5</v>
      </c>
      <c r="B11" s="132" t="s">
        <v>39</v>
      </c>
      <c r="C11" s="136" t="s">
        <v>40</v>
      </c>
      <c r="D11" s="40" t="s">
        <v>41</v>
      </c>
      <c r="E11" s="36">
        <v>32</v>
      </c>
      <c r="F11" s="52">
        <v>14.9</v>
      </c>
      <c r="G11" s="44">
        <f>73/32</f>
        <v>2.28125</v>
      </c>
      <c r="H11" s="2">
        <f>138/32</f>
        <v>4.3125</v>
      </c>
      <c r="I11" s="62">
        <v>52.9</v>
      </c>
      <c r="J11" s="44">
        <f>77/32</f>
        <v>2.40625</v>
      </c>
      <c r="K11" s="2">
        <f>222/32</f>
        <v>6.9375</v>
      </c>
      <c r="L11" s="61">
        <v>34.700000000000003</v>
      </c>
      <c r="M11" s="44">
        <f>100/32</f>
        <v>3.125</v>
      </c>
      <c r="N11" s="2">
        <f>122/32</f>
        <v>3.8125</v>
      </c>
      <c r="O11" s="61">
        <v>82</v>
      </c>
      <c r="P11" s="71">
        <v>3.3</v>
      </c>
      <c r="Q11" s="1">
        <v>0.6</v>
      </c>
      <c r="R11" s="81">
        <v>4</v>
      </c>
      <c r="S11" s="100">
        <v>4.5</v>
      </c>
      <c r="T11" s="100">
        <v>0.1</v>
      </c>
      <c r="U11" s="33">
        <v>2.8</v>
      </c>
      <c r="V11" s="110">
        <v>0.8</v>
      </c>
      <c r="W11" s="71">
        <v>1.4</v>
      </c>
      <c r="X11" s="106" t="s">
        <v>30</v>
      </c>
      <c r="Y11" s="120" t="s">
        <v>42</v>
      </c>
      <c r="Z11" s="115">
        <v>15.8</v>
      </c>
      <c r="AA11" s="7"/>
    </row>
    <row r="12" spans="1:27" ht="18.75" customHeight="1">
      <c r="A12" s="29">
        <v>6</v>
      </c>
      <c r="B12" s="131" t="s">
        <v>43</v>
      </c>
      <c r="C12" s="135" t="s">
        <v>40</v>
      </c>
      <c r="D12" s="39" t="s">
        <v>44</v>
      </c>
      <c r="E12" s="35">
        <v>21</v>
      </c>
      <c r="F12" s="50">
        <v>15.5</v>
      </c>
      <c r="G12" s="43">
        <f>53/21</f>
        <v>2.5238095238095237</v>
      </c>
      <c r="H12" s="9">
        <f>106/21</f>
        <v>5.0476190476190474</v>
      </c>
      <c r="I12" s="60">
        <v>50</v>
      </c>
      <c r="J12" s="43">
        <f>28/21</f>
        <v>1.3333333333333333</v>
      </c>
      <c r="K12" s="9">
        <f>68/21</f>
        <v>3.2380952380952381</v>
      </c>
      <c r="L12" s="60">
        <v>41.2</v>
      </c>
      <c r="M12" s="43">
        <f>44/21</f>
        <v>2.0952380952380953</v>
      </c>
      <c r="N12" s="9">
        <f>59/21</f>
        <v>2.8095238095238093</v>
      </c>
      <c r="O12" s="60">
        <v>74.599999999999994</v>
      </c>
      <c r="P12" s="73">
        <v>2.2999999999999998</v>
      </c>
      <c r="Q12" s="8">
        <v>0.7</v>
      </c>
      <c r="R12" s="80">
        <v>3</v>
      </c>
      <c r="S12" s="97">
        <v>5.6</v>
      </c>
      <c r="T12" s="97">
        <v>0</v>
      </c>
      <c r="U12" s="56">
        <v>1.7</v>
      </c>
      <c r="V12" s="109">
        <v>2.2000000000000002</v>
      </c>
      <c r="W12" s="73">
        <v>2.9</v>
      </c>
      <c r="X12" s="105" t="s">
        <v>30</v>
      </c>
      <c r="Y12" s="119" t="s">
        <v>45</v>
      </c>
      <c r="Z12" s="116">
        <v>15.5</v>
      </c>
      <c r="AA12" s="7"/>
    </row>
    <row r="13" spans="1:27" ht="18.75" customHeight="1">
      <c r="A13" s="28">
        <v>7</v>
      </c>
      <c r="B13" s="132" t="s">
        <v>46</v>
      </c>
      <c r="C13" s="136" t="s">
        <v>28</v>
      </c>
      <c r="D13" s="40" t="s">
        <v>47</v>
      </c>
      <c r="E13" s="36">
        <v>23</v>
      </c>
      <c r="F13" s="52">
        <v>10.3</v>
      </c>
      <c r="G13" s="44">
        <f>39/23</f>
        <v>1.6956521739130435</v>
      </c>
      <c r="H13" s="2">
        <f>68/23</f>
        <v>2.9565217391304346</v>
      </c>
      <c r="I13" s="62">
        <v>57.4</v>
      </c>
      <c r="J13" s="44">
        <f>38/23</f>
        <v>1.6521739130434783</v>
      </c>
      <c r="K13" s="2">
        <f>108/23</f>
        <v>4.6956521739130439</v>
      </c>
      <c r="L13" s="61">
        <v>35.200000000000003</v>
      </c>
      <c r="M13" s="44">
        <f>44/23</f>
        <v>1.9130434782608696</v>
      </c>
      <c r="N13" s="2">
        <f>52/23</f>
        <v>2.2608695652173911</v>
      </c>
      <c r="O13" s="62">
        <v>84.6</v>
      </c>
      <c r="P13" s="71">
        <v>3.1</v>
      </c>
      <c r="Q13" s="1">
        <v>0.7</v>
      </c>
      <c r="R13" s="81">
        <v>3.7</v>
      </c>
      <c r="S13" s="100">
        <v>6.2</v>
      </c>
      <c r="T13" s="100">
        <v>0.1</v>
      </c>
      <c r="U13" s="57">
        <v>2</v>
      </c>
      <c r="V13" s="110">
        <v>1.9</v>
      </c>
      <c r="W13" s="71">
        <v>2.9</v>
      </c>
      <c r="X13" s="106" t="s">
        <v>30</v>
      </c>
      <c r="Y13" s="120" t="s">
        <v>48</v>
      </c>
      <c r="Z13" s="115">
        <v>15.4</v>
      </c>
      <c r="AA13" s="7"/>
    </row>
    <row r="14" spans="1:27" ht="18.75" customHeight="1">
      <c r="A14" s="29">
        <v>8</v>
      </c>
      <c r="B14" s="131" t="s">
        <v>49</v>
      </c>
      <c r="C14" s="135" t="s">
        <v>28</v>
      </c>
      <c r="D14" s="39" t="s">
        <v>50</v>
      </c>
      <c r="E14" s="35">
        <v>33</v>
      </c>
      <c r="F14" s="50">
        <v>11.7</v>
      </c>
      <c r="G14" s="43">
        <f>92/33</f>
        <v>2.7878787878787881</v>
      </c>
      <c r="H14" s="9">
        <f>192/33</f>
        <v>5.8181818181818183</v>
      </c>
      <c r="I14" s="63">
        <v>47.9</v>
      </c>
      <c r="J14" s="43">
        <f>32/33</f>
        <v>0.96969696969696972</v>
      </c>
      <c r="K14" s="9">
        <f>123/33</f>
        <v>3.7272727272727271</v>
      </c>
      <c r="L14" s="60">
        <v>26</v>
      </c>
      <c r="M14" s="43">
        <f>106/33</f>
        <v>3.2121212121212119</v>
      </c>
      <c r="N14" s="9">
        <f>148/33</f>
        <v>4.4848484848484844</v>
      </c>
      <c r="O14" s="63">
        <v>71.599999999999994</v>
      </c>
      <c r="P14" s="73">
        <v>3.1</v>
      </c>
      <c r="Q14" s="8">
        <v>0.9</v>
      </c>
      <c r="R14" s="82">
        <v>3.9</v>
      </c>
      <c r="S14" s="97">
        <v>5.2</v>
      </c>
      <c r="T14" s="97">
        <v>0.2</v>
      </c>
      <c r="U14" s="56">
        <v>3</v>
      </c>
      <c r="V14" s="109">
        <v>1.8</v>
      </c>
      <c r="W14" s="73">
        <v>2.5</v>
      </c>
      <c r="X14" s="105" t="s">
        <v>30</v>
      </c>
      <c r="Y14" s="121" t="s">
        <v>51</v>
      </c>
      <c r="Z14" s="113">
        <v>13.7</v>
      </c>
      <c r="AA14" s="7"/>
    </row>
    <row r="15" spans="1:27" ht="18.75" customHeight="1">
      <c r="A15" s="28">
        <v>9</v>
      </c>
      <c r="B15" s="132" t="s">
        <v>52</v>
      </c>
      <c r="C15" s="136" t="s">
        <v>40</v>
      </c>
      <c r="D15" s="40" t="s">
        <v>53</v>
      </c>
      <c r="E15" s="36">
        <v>20</v>
      </c>
      <c r="F15" s="51">
        <v>11</v>
      </c>
      <c r="G15" s="44">
        <f>50/20</f>
        <v>2.5</v>
      </c>
      <c r="H15" s="2">
        <f>94/20</f>
        <v>4.7</v>
      </c>
      <c r="I15" s="62">
        <v>53.2</v>
      </c>
      <c r="J15" s="44">
        <f>28/20</f>
        <v>1.4</v>
      </c>
      <c r="K15" s="2">
        <f>87/20</f>
        <v>4.3499999999999996</v>
      </c>
      <c r="L15" s="61">
        <v>32.200000000000003</v>
      </c>
      <c r="M15" s="44">
        <f>36/20</f>
        <v>1.8</v>
      </c>
      <c r="N15" s="2">
        <f>47/20</f>
        <v>2.35</v>
      </c>
      <c r="O15" s="61">
        <v>76.599999999999994</v>
      </c>
      <c r="P15" s="71">
        <v>4.3</v>
      </c>
      <c r="Q15" s="1">
        <v>0.7</v>
      </c>
      <c r="R15" s="81">
        <v>5</v>
      </c>
      <c r="S15" s="100">
        <v>4.5</v>
      </c>
      <c r="T15" s="100">
        <v>0.1</v>
      </c>
      <c r="U15" s="33">
        <v>2.6</v>
      </c>
      <c r="V15" s="110">
        <v>1.3</v>
      </c>
      <c r="W15" s="71">
        <v>2.6</v>
      </c>
      <c r="X15" s="106" t="s">
        <v>30</v>
      </c>
      <c r="Y15" s="120" t="s">
        <v>54</v>
      </c>
      <c r="Z15" s="115">
        <v>13.7</v>
      </c>
      <c r="AA15" s="7"/>
    </row>
    <row r="16" spans="1:27" ht="18.75" customHeight="1">
      <c r="A16" s="29">
        <v>10</v>
      </c>
      <c r="B16" s="131" t="s">
        <v>55</v>
      </c>
      <c r="C16" s="135" t="s">
        <v>40</v>
      </c>
      <c r="D16" s="39" t="s">
        <v>56</v>
      </c>
      <c r="E16" s="35">
        <v>19</v>
      </c>
      <c r="F16" s="50">
        <v>10.4</v>
      </c>
      <c r="G16" s="43">
        <f>49/19</f>
        <v>2.5789473684210527</v>
      </c>
      <c r="H16" s="9">
        <f>94/19</f>
        <v>4.9473684210526319</v>
      </c>
      <c r="I16" s="63">
        <v>52.1</v>
      </c>
      <c r="J16" s="43">
        <f>17/19</f>
        <v>0.89473684210526316</v>
      </c>
      <c r="K16" s="9">
        <f>77/19</f>
        <v>4.0526315789473681</v>
      </c>
      <c r="L16" s="60">
        <v>22.1</v>
      </c>
      <c r="M16" s="43">
        <f>49/19</f>
        <v>2.5789473684210527</v>
      </c>
      <c r="N16" s="9">
        <f>66/19</f>
        <v>3.4736842105263159</v>
      </c>
      <c r="O16" s="63">
        <v>74.2</v>
      </c>
      <c r="P16" s="73">
        <v>2.8</v>
      </c>
      <c r="Q16" s="8">
        <v>0.7</v>
      </c>
      <c r="R16" s="80">
        <v>3.5</v>
      </c>
      <c r="S16" s="97">
        <v>5.9</v>
      </c>
      <c r="T16" s="97">
        <v>0.1</v>
      </c>
      <c r="U16" s="32">
        <v>2.9</v>
      </c>
      <c r="V16" s="109">
        <v>1.5</v>
      </c>
      <c r="W16" s="73">
        <v>1.7</v>
      </c>
      <c r="X16" s="105" t="s">
        <v>30</v>
      </c>
      <c r="Y16" s="119" t="s">
        <v>57</v>
      </c>
      <c r="Z16" s="113">
        <v>13.1</v>
      </c>
      <c r="AA16" s="7"/>
    </row>
    <row r="17" spans="1:27" ht="18.75" customHeight="1">
      <c r="A17" s="28">
        <v>11</v>
      </c>
      <c r="B17" s="132" t="s">
        <v>58</v>
      </c>
      <c r="C17" s="136" t="s">
        <v>28</v>
      </c>
      <c r="D17" s="40" t="s">
        <v>59</v>
      </c>
      <c r="E17" s="36">
        <v>11</v>
      </c>
      <c r="F17" s="51">
        <v>12.2</v>
      </c>
      <c r="G17" s="44">
        <f>22/11</f>
        <v>2</v>
      </c>
      <c r="H17" s="2">
        <f>55/11</f>
        <v>5</v>
      </c>
      <c r="I17" s="61">
        <v>40</v>
      </c>
      <c r="J17" s="44">
        <f>25/11</f>
        <v>2.2727272727272729</v>
      </c>
      <c r="K17" s="2">
        <f>61/11</f>
        <v>5.5454545454545459</v>
      </c>
      <c r="L17" s="61">
        <v>41</v>
      </c>
      <c r="M17" s="44">
        <f>15/11</f>
        <v>1.3636363636363635</v>
      </c>
      <c r="N17" s="2">
        <f>22/11</f>
        <v>2</v>
      </c>
      <c r="O17" s="62">
        <v>68.2</v>
      </c>
      <c r="P17" s="44">
        <v>3.2</v>
      </c>
      <c r="Q17" s="1">
        <v>0.5</v>
      </c>
      <c r="R17" s="81">
        <v>3.6</v>
      </c>
      <c r="S17" s="100">
        <v>5.0999999999999996</v>
      </c>
      <c r="T17" s="100">
        <v>0</v>
      </c>
      <c r="U17" s="57">
        <v>2</v>
      </c>
      <c r="V17" s="110">
        <v>0.7</v>
      </c>
      <c r="W17" s="71">
        <v>1.6</v>
      </c>
      <c r="X17" s="106" t="s">
        <v>30</v>
      </c>
      <c r="Y17" s="120" t="s">
        <v>60</v>
      </c>
      <c r="Z17" s="114">
        <v>13</v>
      </c>
      <c r="AA17" s="7"/>
    </row>
    <row r="18" spans="1:27" ht="18.75" customHeight="1">
      <c r="A18" s="29">
        <v>12</v>
      </c>
      <c r="B18" s="131" t="s">
        <v>61</v>
      </c>
      <c r="C18" s="135" t="s">
        <v>62</v>
      </c>
      <c r="D18" s="39" t="s">
        <v>63</v>
      </c>
      <c r="E18" s="35">
        <v>22</v>
      </c>
      <c r="F18" s="50">
        <v>15.1</v>
      </c>
      <c r="G18" s="43">
        <f>104/22</f>
        <v>4.7272727272727275</v>
      </c>
      <c r="H18" s="9">
        <f>217/22</f>
        <v>9.8636363636363633</v>
      </c>
      <c r="I18" s="60">
        <v>47.9</v>
      </c>
      <c r="J18" s="43">
        <f>21/22</f>
        <v>0.95454545454545459</v>
      </c>
      <c r="K18" s="9">
        <f>74/22</f>
        <v>3.3636363636363638</v>
      </c>
      <c r="L18" s="60">
        <v>28.4</v>
      </c>
      <c r="M18" s="43">
        <f>61/22</f>
        <v>2.7727272727272729</v>
      </c>
      <c r="N18" s="9">
        <f>89/22</f>
        <v>4.0454545454545459</v>
      </c>
      <c r="O18" s="60">
        <v>68.5</v>
      </c>
      <c r="P18" s="43">
        <v>1.8</v>
      </c>
      <c r="Q18" s="8">
        <v>1.5</v>
      </c>
      <c r="R18" s="80">
        <v>3.3</v>
      </c>
      <c r="S18" s="97">
        <v>2.7</v>
      </c>
      <c r="T18" s="99">
        <v>0</v>
      </c>
      <c r="U18" s="56">
        <v>2.9</v>
      </c>
      <c r="V18" s="109">
        <v>2.5</v>
      </c>
      <c r="W18" s="43">
        <v>1.6</v>
      </c>
      <c r="X18" s="105" t="s">
        <v>30</v>
      </c>
      <c r="Y18" s="119" t="s">
        <v>64</v>
      </c>
      <c r="Z18" s="113">
        <v>12.8</v>
      </c>
      <c r="AA18" s="7"/>
    </row>
    <row r="19" spans="1:27" ht="18.75" customHeight="1">
      <c r="A19" s="28">
        <v>13</v>
      </c>
      <c r="B19" s="132" t="s">
        <v>65</v>
      </c>
      <c r="C19" s="136" t="s">
        <v>40</v>
      </c>
      <c r="D19" s="40" t="s">
        <v>66</v>
      </c>
      <c r="E19" s="36">
        <v>32</v>
      </c>
      <c r="F19" s="52">
        <v>13.1</v>
      </c>
      <c r="G19" s="44">
        <f>57/32</f>
        <v>1.78125</v>
      </c>
      <c r="H19" s="2">
        <f>126/32</f>
        <v>3.9375</v>
      </c>
      <c r="I19" s="62">
        <v>45.2</v>
      </c>
      <c r="J19" s="44">
        <f>83/32</f>
        <v>2.59375</v>
      </c>
      <c r="K19" s="2">
        <f>214/32</f>
        <v>6.6875</v>
      </c>
      <c r="L19" s="62">
        <v>38.799999999999997</v>
      </c>
      <c r="M19" s="44">
        <f>56/32</f>
        <v>1.75</v>
      </c>
      <c r="N19" s="2">
        <f>88/32</f>
        <v>2.75</v>
      </c>
      <c r="O19" s="62">
        <v>63.6</v>
      </c>
      <c r="P19" s="44">
        <v>2</v>
      </c>
      <c r="Q19" s="1">
        <v>0.3</v>
      </c>
      <c r="R19" s="83">
        <v>2.2999999999999998</v>
      </c>
      <c r="S19" s="100">
        <v>3.7</v>
      </c>
      <c r="T19" s="100">
        <v>0</v>
      </c>
      <c r="U19" s="33">
        <v>1.9</v>
      </c>
      <c r="V19" s="110">
        <v>1.2</v>
      </c>
      <c r="W19" s="71">
        <v>1.7</v>
      </c>
      <c r="X19" s="106" t="s">
        <v>30</v>
      </c>
      <c r="Y19" s="122" t="s">
        <v>67</v>
      </c>
      <c r="Z19" s="115">
        <v>11.6</v>
      </c>
      <c r="AA19" s="7"/>
    </row>
    <row r="20" spans="1:27" ht="18.75" customHeight="1">
      <c r="A20" s="29">
        <v>14</v>
      </c>
      <c r="B20" s="131" t="s">
        <v>68</v>
      </c>
      <c r="C20" s="135" t="s">
        <v>40</v>
      </c>
      <c r="D20" s="39" t="s">
        <v>69</v>
      </c>
      <c r="E20" s="35">
        <v>22</v>
      </c>
      <c r="F20" s="50">
        <v>9.1</v>
      </c>
      <c r="G20" s="43">
        <f>24/22</f>
        <v>1.0909090909090908</v>
      </c>
      <c r="H20" s="9">
        <f>49/22</f>
        <v>2.2272727272727271</v>
      </c>
      <c r="I20" s="60">
        <v>49</v>
      </c>
      <c r="J20" s="43">
        <f>34/22</f>
        <v>1.5454545454545454</v>
      </c>
      <c r="K20" s="9">
        <f>79/22</f>
        <v>3.5909090909090908</v>
      </c>
      <c r="L20" s="60">
        <v>43</v>
      </c>
      <c r="M20" s="43">
        <f>50/22</f>
        <v>2.2727272727272729</v>
      </c>
      <c r="N20" s="9">
        <f>70/22</f>
        <v>3.1818181818181817</v>
      </c>
      <c r="O20" s="60">
        <v>71.400000000000006</v>
      </c>
      <c r="P20" s="43">
        <v>2.2999999999999998</v>
      </c>
      <c r="Q20" s="8">
        <v>0.8</v>
      </c>
      <c r="R20" s="80">
        <v>3.1</v>
      </c>
      <c r="S20" s="97">
        <v>4.4000000000000004</v>
      </c>
      <c r="T20" s="97">
        <v>0</v>
      </c>
      <c r="U20" s="32">
        <v>2.7</v>
      </c>
      <c r="V20" s="109">
        <v>1.1000000000000001</v>
      </c>
      <c r="W20" s="43">
        <v>2.5</v>
      </c>
      <c r="X20" s="105" t="s">
        <v>30</v>
      </c>
      <c r="Y20" s="119" t="s">
        <v>70</v>
      </c>
      <c r="Z20" s="113">
        <v>11.5</v>
      </c>
      <c r="AA20" s="7"/>
    </row>
    <row r="21" spans="1:27" ht="18.75" customHeight="1">
      <c r="A21" s="28">
        <v>15</v>
      </c>
      <c r="B21" s="132" t="s">
        <v>71</v>
      </c>
      <c r="C21" s="136" t="s">
        <v>28</v>
      </c>
      <c r="D21" s="40" t="s">
        <v>29</v>
      </c>
      <c r="E21" s="36">
        <v>16</v>
      </c>
      <c r="F21" s="51">
        <v>11.4</v>
      </c>
      <c r="G21" s="44">
        <f>48/16</f>
        <v>3</v>
      </c>
      <c r="H21" s="2">
        <f>96/16</f>
        <v>6</v>
      </c>
      <c r="I21" s="61">
        <v>50</v>
      </c>
      <c r="J21" s="44">
        <f>17/16</f>
        <v>1.0625</v>
      </c>
      <c r="K21" s="2">
        <f>68/16</f>
        <v>4.25</v>
      </c>
      <c r="L21" s="61">
        <v>25</v>
      </c>
      <c r="M21" s="65">
        <f>35/16</f>
        <v>2.1875</v>
      </c>
      <c r="N21" s="2">
        <f>55/16</f>
        <v>3.4375</v>
      </c>
      <c r="O21" s="61">
        <v>63.6</v>
      </c>
      <c r="P21" s="71">
        <v>1.6</v>
      </c>
      <c r="Q21" s="2">
        <v>0.9</v>
      </c>
      <c r="R21" s="81">
        <v>2.5</v>
      </c>
      <c r="S21" s="103">
        <v>6.6</v>
      </c>
      <c r="T21" s="100">
        <v>0.1</v>
      </c>
      <c r="U21" s="33">
        <v>4.4000000000000004</v>
      </c>
      <c r="V21" s="110">
        <v>1.9</v>
      </c>
      <c r="W21" s="44">
        <v>3.1</v>
      </c>
      <c r="X21" s="106" t="s">
        <v>30</v>
      </c>
      <c r="Y21" s="120" t="s">
        <v>72</v>
      </c>
      <c r="Z21" s="115">
        <v>11.1</v>
      </c>
      <c r="AA21" s="7"/>
    </row>
    <row r="22" spans="1:27" ht="18.75" customHeight="1">
      <c r="A22" s="124">
        <v>16</v>
      </c>
      <c r="B22" s="131" t="s">
        <v>73</v>
      </c>
      <c r="C22" s="135" t="s">
        <v>74</v>
      </c>
      <c r="D22" s="39" t="s">
        <v>35</v>
      </c>
      <c r="E22" s="35">
        <v>17</v>
      </c>
      <c r="F22" s="53">
        <v>9.6</v>
      </c>
      <c r="G22" s="43">
        <f>58/17</f>
        <v>3.4117647058823528</v>
      </c>
      <c r="H22" s="9">
        <f>88/17</f>
        <v>5.1764705882352944</v>
      </c>
      <c r="I22" s="63">
        <v>65.8</v>
      </c>
      <c r="J22" s="43">
        <f>12/17</f>
        <v>0.70588235294117652</v>
      </c>
      <c r="K22" s="9">
        <f>38/17</f>
        <v>2.2352941176470589</v>
      </c>
      <c r="L22" s="60">
        <v>31.6</v>
      </c>
      <c r="M22" s="66">
        <f>12/17</f>
        <v>0.70588235294117652</v>
      </c>
      <c r="N22" s="9">
        <v>1</v>
      </c>
      <c r="O22" s="60">
        <v>70.599999999999994</v>
      </c>
      <c r="P22" s="73">
        <v>1.7</v>
      </c>
      <c r="Q22" s="9">
        <v>0.9</v>
      </c>
      <c r="R22" s="80">
        <v>2.6</v>
      </c>
      <c r="S22" s="101">
        <v>3.1</v>
      </c>
      <c r="T22" s="97">
        <v>0.1</v>
      </c>
      <c r="U22" s="32">
        <v>1.9</v>
      </c>
      <c r="V22" s="109">
        <v>1.3</v>
      </c>
      <c r="W22" s="43">
        <v>2.6</v>
      </c>
      <c r="X22" s="105" t="s">
        <v>30</v>
      </c>
      <c r="Y22" s="119" t="s">
        <v>75</v>
      </c>
      <c r="Z22" s="116">
        <v>10</v>
      </c>
      <c r="AA22" s="7"/>
    </row>
    <row r="23" spans="1:27" ht="18.75" customHeight="1">
      <c r="A23" s="125">
        <v>17</v>
      </c>
      <c r="B23" s="132" t="s">
        <v>76</v>
      </c>
      <c r="C23" s="136" t="s">
        <v>40</v>
      </c>
      <c r="D23" s="40" t="s">
        <v>35</v>
      </c>
      <c r="E23" s="36">
        <v>24</v>
      </c>
      <c r="F23" s="52">
        <v>9.8000000000000007</v>
      </c>
      <c r="G23" s="44">
        <f>57/24</f>
        <v>2.375</v>
      </c>
      <c r="H23" s="2">
        <f>107/24</f>
        <v>4.458333333333333</v>
      </c>
      <c r="I23" s="62">
        <v>53.3</v>
      </c>
      <c r="J23" s="44">
        <v>1</v>
      </c>
      <c r="K23" s="2">
        <f>86/24</f>
        <v>3.5833333333333335</v>
      </c>
      <c r="L23" s="61">
        <v>27.9</v>
      </c>
      <c r="M23" s="44">
        <f>49/24</f>
        <v>2.0416666666666665</v>
      </c>
      <c r="N23" s="2">
        <f>53/24</f>
        <v>2.2083333333333335</v>
      </c>
      <c r="O23" s="61">
        <v>92.5</v>
      </c>
      <c r="P23" s="71">
        <v>2.4</v>
      </c>
      <c r="Q23" s="1">
        <v>0.8</v>
      </c>
      <c r="R23" s="81">
        <v>3.2</v>
      </c>
      <c r="S23" s="103">
        <v>2.7</v>
      </c>
      <c r="T23" s="100">
        <v>0</v>
      </c>
      <c r="U23" s="33">
        <v>1.7</v>
      </c>
      <c r="V23" s="110">
        <v>0.7</v>
      </c>
      <c r="W23" s="71">
        <v>1.9</v>
      </c>
      <c r="X23" s="106" t="s">
        <v>30</v>
      </c>
      <c r="Y23" s="120" t="s">
        <v>77</v>
      </c>
      <c r="Z23" s="115">
        <v>9.5</v>
      </c>
      <c r="AA23" s="7"/>
    </row>
    <row r="24" spans="1:27" ht="18.75" customHeight="1">
      <c r="A24" s="124">
        <v>18</v>
      </c>
      <c r="B24" s="131" t="s">
        <v>78</v>
      </c>
      <c r="C24" s="135" t="s">
        <v>40</v>
      </c>
      <c r="D24" s="39" t="s">
        <v>79</v>
      </c>
      <c r="E24" s="35">
        <v>12</v>
      </c>
      <c r="F24" s="50">
        <v>11.2</v>
      </c>
      <c r="G24" s="43">
        <f>29/12</f>
        <v>2.4166666666666665</v>
      </c>
      <c r="H24" s="9">
        <f>54/12</f>
        <v>4.5</v>
      </c>
      <c r="I24" s="60">
        <v>53.7</v>
      </c>
      <c r="J24" s="43">
        <f>14/12</f>
        <v>1.1666666666666667</v>
      </c>
      <c r="K24" s="9">
        <f>60/12</f>
        <v>5</v>
      </c>
      <c r="L24" s="60">
        <v>23.3</v>
      </c>
      <c r="M24" s="43">
        <f>34/12</f>
        <v>2.8333333333333335</v>
      </c>
      <c r="N24" s="9">
        <f>45/12</f>
        <v>3.75</v>
      </c>
      <c r="O24" s="78">
        <v>75.599999999999994</v>
      </c>
      <c r="P24" s="73">
        <v>2.2999999999999998</v>
      </c>
      <c r="Q24" s="8">
        <v>0.6</v>
      </c>
      <c r="R24" s="80">
        <v>2.8</v>
      </c>
      <c r="S24" s="97">
        <v>1.6</v>
      </c>
      <c r="T24" s="101">
        <v>0.1</v>
      </c>
      <c r="U24" s="56">
        <v>1.9</v>
      </c>
      <c r="V24" s="109">
        <v>1.1000000000000001</v>
      </c>
      <c r="W24" s="73">
        <v>1.4</v>
      </c>
      <c r="X24" s="105" t="s">
        <v>30</v>
      </c>
      <c r="Y24" s="119" t="s">
        <v>67</v>
      </c>
      <c r="Z24" s="116">
        <v>8.9</v>
      </c>
      <c r="AA24" s="7"/>
    </row>
    <row r="25" spans="1:27" ht="18.75" customHeight="1">
      <c r="A25" s="323">
        <v>19</v>
      </c>
      <c r="B25" s="319" t="s">
        <v>80</v>
      </c>
      <c r="C25" s="320" t="s">
        <v>40</v>
      </c>
      <c r="D25" s="40" t="s">
        <v>81</v>
      </c>
      <c r="E25" s="36">
        <v>6</v>
      </c>
      <c r="F25" s="321">
        <v>7.5</v>
      </c>
      <c r="G25" s="44">
        <f>11/6</f>
        <v>1.8333333333333333</v>
      </c>
      <c r="H25" s="2">
        <f>17/6</f>
        <v>2.8333333333333335</v>
      </c>
      <c r="I25" s="61">
        <v>64.7</v>
      </c>
      <c r="J25" s="44">
        <f>4/6</f>
        <v>0.66666666666666663</v>
      </c>
      <c r="K25" s="2">
        <f>14/6</f>
        <v>2.3333333333333335</v>
      </c>
      <c r="L25" s="61">
        <v>28.6</v>
      </c>
      <c r="M25" s="44">
        <f>9/6</f>
        <v>1.5</v>
      </c>
      <c r="N25" s="2">
        <f>17/6</f>
        <v>2.8333333333333335</v>
      </c>
      <c r="O25" s="61">
        <v>52.9</v>
      </c>
      <c r="P25" s="44">
        <v>2.2000000000000002</v>
      </c>
      <c r="Q25" s="2">
        <v>0.6</v>
      </c>
      <c r="R25" s="81">
        <v>2.8</v>
      </c>
      <c r="S25" s="103">
        <v>3.8</v>
      </c>
      <c r="T25" s="98">
        <v>0</v>
      </c>
      <c r="U25" s="57">
        <v>2</v>
      </c>
      <c r="V25" s="110">
        <v>0.8</v>
      </c>
      <c r="W25" s="44">
        <v>2.8</v>
      </c>
      <c r="X25" s="106" t="s">
        <v>30</v>
      </c>
      <c r="Y25" s="120" t="s">
        <v>82</v>
      </c>
      <c r="Z25" s="322">
        <v>8.1999999999999993</v>
      </c>
      <c r="AA25" s="7"/>
    </row>
    <row r="26" spans="1:27" ht="18.75" customHeight="1">
      <c r="A26" s="324"/>
      <c r="B26" s="319"/>
      <c r="C26" s="320"/>
      <c r="D26" s="40" t="s">
        <v>59</v>
      </c>
      <c r="E26" s="36">
        <v>16</v>
      </c>
      <c r="F26" s="321"/>
      <c r="G26" s="44">
        <f>21/16</f>
        <v>1.3125</v>
      </c>
      <c r="H26" s="2">
        <f>39/16</f>
        <v>2.4375</v>
      </c>
      <c r="I26" s="61">
        <v>53.8</v>
      </c>
      <c r="J26" s="44">
        <f>14/16</f>
        <v>0.875</v>
      </c>
      <c r="K26" s="2">
        <f>52/16</f>
        <v>3.25</v>
      </c>
      <c r="L26" s="61">
        <v>26.9</v>
      </c>
      <c r="M26" s="44">
        <f>18/16</f>
        <v>1.125</v>
      </c>
      <c r="N26" s="2">
        <f>22/18</f>
        <v>1.2222222222222223</v>
      </c>
      <c r="O26" s="61">
        <v>81.8</v>
      </c>
      <c r="P26" s="71">
        <v>1.7</v>
      </c>
      <c r="Q26" s="2">
        <v>0.3</v>
      </c>
      <c r="R26" s="81">
        <v>2</v>
      </c>
      <c r="S26" s="100">
        <v>2.2999999999999998</v>
      </c>
      <c r="T26" s="100">
        <v>0.6</v>
      </c>
      <c r="U26" s="33">
        <v>1.1000000000000001</v>
      </c>
      <c r="V26" s="110">
        <v>0.8</v>
      </c>
      <c r="W26" s="71">
        <v>1.7</v>
      </c>
      <c r="X26" s="106" t="s">
        <v>30</v>
      </c>
      <c r="Y26" s="120">
        <v>19.3</v>
      </c>
      <c r="Z26" s="322"/>
      <c r="AA26" s="7"/>
    </row>
    <row r="27" spans="1:27" ht="18.75" customHeight="1">
      <c r="A27" s="31">
        <v>20</v>
      </c>
      <c r="B27" s="133" t="s">
        <v>83</v>
      </c>
      <c r="C27" s="137" t="s">
        <v>40</v>
      </c>
      <c r="D27" s="41" t="s">
        <v>56</v>
      </c>
      <c r="E27" s="37">
        <v>34</v>
      </c>
      <c r="F27" s="54">
        <v>4.5</v>
      </c>
      <c r="G27" s="47">
        <f>28/34</f>
        <v>0.82352941176470584</v>
      </c>
      <c r="H27" s="48">
        <f>54/34</f>
        <v>1.588235294117647</v>
      </c>
      <c r="I27" s="64">
        <v>51.9</v>
      </c>
      <c r="J27" s="47">
        <f>28/34</f>
        <v>0.82352941176470584</v>
      </c>
      <c r="K27" s="48">
        <f>73/34</f>
        <v>2.1470588235294117</v>
      </c>
      <c r="L27" s="67">
        <v>38.4</v>
      </c>
      <c r="M27" s="47">
        <f>13/34</f>
        <v>0.38235294117647056</v>
      </c>
      <c r="N27" s="48">
        <f>23/34</f>
        <v>0.67647058823529416</v>
      </c>
      <c r="O27" s="67">
        <v>56.5</v>
      </c>
      <c r="P27" s="76">
        <v>2.2999999999999998</v>
      </c>
      <c r="Q27" s="48">
        <v>1</v>
      </c>
      <c r="R27" s="84">
        <v>3.3</v>
      </c>
      <c r="S27" s="102">
        <v>1.9</v>
      </c>
      <c r="T27" s="102">
        <v>0</v>
      </c>
      <c r="U27" s="94">
        <v>1.4</v>
      </c>
      <c r="V27" s="111">
        <v>0.9</v>
      </c>
      <c r="W27" s="76">
        <v>2.4</v>
      </c>
      <c r="X27" s="107" t="s">
        <v>30</v>
      </c>
      <c r="Y27" s="123" t="s">
        <v>84</v>
      </c>
      <c r="Z27" s="117">
        <v>5.3</v>
      </c>
      <c r="AA27" s="7"/>
    </row>
    <row r="28" spans="1:27" ht="18.75" customHeight="1">
      <c r="A28" s="316"/>
      <c r="B28" s="317"/>
      <c r="C28" s="317"/>
      <c r="D28" s="317"/>
      <c r="E28" s="317"/>
      <c r="F28" s="317"/>
      <c r="G28" s="317"/>
      <c r="H28" s="317"/>
      <c r="I28" s="317"/>
      <c r="J28" s="317"/>
      <c r="K28" s="317"/>
      <c r="L28" s="317"/>
      <c r="M28" s="317"/>
      <c r="N28" s="317"/>
      <c r="O28" s="317"/>
      <c r="P28" s="317"/>
      <c r="Q28" s="317"/>
      <c r="R28" s="317"/>
      <c r="S28" s="317"/>
      <c r="T28" s="317"/>
      <c r="U28" s="317"/>
      <c r="V28" s="317"/>
      <c r="W28" s="317"/>
      <c r="X28" s="317"/>
      <c r="Y28" s="317"/>
      <c r="Z28" s="317"/>
      <c r="AA28" s="318"/>
    </row>
    <row r="29" spans="1:27" ht="18.75" customHeight="1"/>
  </sheetData>
  <mergeCells count="23">
    <mergeCell ref="G5:I5"/>
    <mergeCell ref="A28:AA28"/>
    <mergeCell ref="B25:B26"/>
    <mergeCell ref="C25:C26"/>
    <mergeCell ref="F25:F26"/>
    <mergeCell ref="Z25:Z26"/>
    <mergeCell ref="A25:A26"/>
    <mergeCell ref="A1:Z3"/>
    <mergeCell ref="A4:Z4"/>
    <mergeCell ref="W5:X5"/>
    <mergeCell ref="Y5:Y6"/>
    <mergeCell ref="Z5:Z6"/>
    <mergeCell ref="J5:L5"/>
    <mergeCell ref="M5:O5"/>
    <mergeCell ref="P5:R5"/>
    <mergeCell ref="S5:S6"/>
    <mergeCell ref="T5:T6"/>
    <mergeCell ref="U5:V5"/>
    <mergeCell ref="C5:C6"/>
    <mergeCell ref="D5:D6"/>
    <mergeCell ref="E5:E6"/>
    <mergeCell ref="F5:F6"/>
    <mergeCell ref="A5:B6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49C98-AA54-467E-BA2F-ADE1660834D4}">
  <dimension ref="A1:AA28"/>
  <sheetViews>
    <sheetView zoomScaleNormal="100" workbookViewId="0">
      <selection sqref="A1:Z3"/>
    </sheetView>
  </sheetViews>
  <sheetFormatPr defaultColWidth="9.140625" defaultRowHeight="15"/>
  <cols>
    <col min="1" max="1" width="4.7109375" customWidth="1"/>
    <col min="2" max="2" width="23" customWidth="1"/>
    <col min="3" max="3" width="6" customWidth="1"/>
    <col min="4" max="4" width="14.42578125" customWidth="1"/>
    <col min="5" max="5" width="5.7109375" customWidth="1"/>
    <col min="6" max="6" width="6.140625" customWidth="1"/>
    <col min="7" max="7" width="5.7109375" customWidth="1"/>
    <col min="8" max="8" width="4.7109375" customWidth="1"/>
    <col min="9" max="9" width="5.7109375" customWidth="1"/>
    <col min="10" max="11" width="4.7109375" customWidth="1"/>
    <col min="12" max="12" width="5.7109375" customWidth="1"/>
    <col min="13" max="14" width="4.7109375" customWidth="1"/>
    <col min="15" max="15" width="5.7109375" customWidth="1"/>
    <col min="16" max="24" width="4.7109375" customWidth="1"/>
    <col min="25" max="25" width="5.7109375" customWidth="1"/>
    <col min="26" max="26" width="6.140625" customWidth="1"/>
    <col min="27" max="27" width="4.7109375" customWidth="1"/>
    <col min="28" max="255" width="11.42578125" customWidth="1"/>
  </cols>
  <sheetData>
    <row r="1" spans="1:27" ht="12" customHeight="1">
      <c r="A1" s="289" t="s">
        <v>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325"/>
    </row>
    <row r="2" spans="1:27" ht="12" customHeight="1">
      <c r="A2" s="291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326"/>
    </row>
    <row r="3" spans="1:27" ht="12" customHeight="1">
      <c r="A3" s="291"/>
      <c r="B3" s="292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326"/>
    </row>
    <row r="4" spans="1:27" ht="24" customHeight="1">
      <c r="A4" s="327" t="s">
        <v>85</v>
      </c>
      <c r="B4" s="328"/>
      <c r="C4" s="328"/>
      <c r="D4" s="328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326"/>
    </row>
    <row r="5" spans="1:27" ht="15.75" customHeight="1">
      <c r="A5" s="312" t="s">
        <v>2</v>
      </c>
      <c r="B5" s="313"/>
      <c r="C5" s="310" t="s">
        <v>3</v>
      </c>
      <c r="D5" s="329" t="s">
        <v>4</v>
      </c>
      <c r="E5" s="310" t="s">
        <v>5</v>
      </c>
      <c r="F5" s="299" t="s">
        <v>6</v>
      </c>
      <c r="G5" s="307" t="s">
        <v>7</v>
      </c>
      <c r="H5" s="302"/>
      <c r="I5" s="331"/>
      <c r="J5" s="307" t="s">
        <v>8</v>
      </c>
      <c r="K5" s="302"/>
      <c r="L5" s="303"/>
      <c r="M5" s="301" t="s">
        <v>9</v>
      </c>
      <c r="N5" s="302"/>
      <c r="O5" s="303"/>
      <c r="P5" s="295" t="s">
        <v>10</v>
      </c>
      <c r="Q5" s="304"/>
      <c r="R5" s="296"/>
      <c r="S5" s="305" t="s">
        <v>11</v>
      </c>
      <c r="T5" s="310" t="s">
        <v>12</v>
      </c>
      <c r="U5" s="301" t="s">
        <v>13</v>
      </c>
      <c r="V5" s="303"/>
      <c r="W5" s="295" t="s">
        <v>14</v>
      </c>
      <c r="X5" s="296"/>
      <c r="Y5" s="332" t="s">
        <v>15</v>
      </c>
      <c r="Z5" s="305" t="s">
        <v>16</v>
      </c>
      <c r="AA5" s="326"/>
    </row>
    <row r="6" spans="1:27" ht="18" customHeight="1">
      <c r="A6" s="314"/>
      <c r="B6" s="315"/>
      <c r="C6" s="311"/>
      <c r="D6" s="330"/>
      <c r="E6" s="311"/>
      <c r="F6" s="300"/>
      <c r="G6" s="20" t="s">
        <v>17</v>
      </c>
      <c r="H6" s="18" t="s">
        <v>18</v>
      </c>
      <c r="I6" s="19" t="s">
        <v>19</v>
      </c>
      <c r="J6" s="20" t="s">
        <v>17</v>
      </c>
      <c r="K6" s="18" t="s">
        <v>18</v>
      </c>
      <c r="L6" s="21" t="s">
        <v>19</v>
      </c>
      <c r="M6" s="17" t="s">
        <v>17</v>
      </c>
      <c r="N6" s="18" t="s">
        <v>18</v>
      </c>
      <c r="O6" s="21" t="s">
        <v>19</v>
      </c>
      <c r="P6" s="68" t="s">
        <v>20</v>
      </c>
      <c r="Q6" s="22" t="s">
        <v>21</v>
      </c>
      <c r="R6" s="69" t="s">
        <v>22</v>
      </c>
      <c r="S6" s="306"/>
      <c r="T6" s="311"/>
      <c r="U6" s="17" t="s">
        <v>23</v>
      </c>
      <c r="V6" s="21" t="s">
        <v>24</v>
      </c>
      <c r="W6" s="68" t="s">
        <v>25</v>
      </c>
      <c r="X6" s="69" t="s">
        <v>26</v>
      </c>
      <c r="Y6" s="333"/>
      <c r="Z6" s="306"/>
      <c r="AA6" s="326"/>
    </row>
    <row r="7" spans="1:27" ht="18.75" customHeight="1">
      <c r="A7" s="28">
        <v>1</v>
      </c>
      <c r="B7" s="132" t="s">
        <v>86</v>
      </c>
      <c r="C7" s="139" t="s">
        <v>28</v>
      </c>
      <c r="D7" s="127" t="s">
        <v>53</v>
      </c>
      <c r="E7" s="120">
        <v>15</v>
      </c>
      <c r="F7" s="115">
        <v>23.6</v>
      </c>
      <c r="G7" s="57">
        <f>97/15</f>
        <v>6.4666666666666668</v>
      </c>
      <c r="H7" s="2">
        <f>180/15</f>
        <v>12</v>
      </c>
      <c r="I7" s="46">
        <v>53.9</v>
      </c>
      <c r="J7" s="57">
        <f>19/15</f>
        <v>1.2666666666666666</v>
      </c>
      <c r="K7" s="2">
        <f>64/15</f>
        <v>4.2666666666666666</v>
      </c>
      <c r="L7" s="61">
        <v>29.7</v>
      </c>
      <c r="M7" s="44">
        <f>103/15</f>
        <v>6.8666666666666663</v>
      </c>
      <c r="N7" s="2">
        <f>125/15</f>
        <v>8.3333333333333339</v>
      </c>
      <c r="O7" s="62">
        <v>82.4</v>
      </c>
      <c r="P7" s="71">
        <v>3.9</v>
      </c>
      <c r="Q7" s="1">
        <v>0.8</v>
      </c>
      <c r="R7" s="72">
        <v>4.7</v>
      </c>
      <c r="S7" s="100">
        <v>2.2000000000000002</v>
      </c>
      <c r="T7" s="120">
        <v>0.1</v>
      </c>
      <c r="U7" s="71">
        <v>3.1</v>
      </c>
      <c r="V7" s="110">
        <v>1.3</v>
      </c>
      <c r="W7" s="71">
        <v>1.5</v>
      </c>
      <c r="X7" s="106" t="s">
        <v>30</v>
      </c>
      <c r="Y7" s="100" t="s">
        <v>87</v>
      </c>
      <c r="Z7" s="166">
        <v>23.6</v>
      </c>
      <c r="AA7" s="326"/>
    </row>
    <row r="8" spans="1:27" ht="18.75" customHeight="1">
      <c r="A8" s="29">
        <v>2</v>
      </c>
      <c r="B8" s="131" t="s">
        <v>88</v>
      </c>
      <c r="C8" s="140" t="s">
        <v>40</v>
      </c>
      <c r="D8" s="128" t="s">
        <v>89</v>
      </c>
      <c r="E8" s="123">
        <v>23</v>
      </c>
      <c r="F8" s="146">
        <v>16.899999999999999</v>
      </c>
      <c r="G8" s="58">
        <f>107/23</f>
        <v>4.6521739130434785</v>
      </c>
      <c r="H8" s="13">
        <f>190/23</f>
        <v>8.2608695652173907</v>
      </c>
      <c r="I8" s="143">
        <v>56.3</v>
      </c>
      <c r="J8" s="58">
        <f>30/23</f>
        <v>1.3043478260869565</v>
      </c>
      <c r="K8" s="13">
        <f>120/23</f>
        <v>5.2173913043478262</v>
      </c>
      <c r="L8" s="149">
        <v>25</v>
      </c>
      <c r="M8" s="142">
        <f>85/23</f>
        <v>3.6956521739130435</v>
      </c>
      <c r="N8" s="13">
        <f>151/23</f>
        <v>6.5652173913043477</v>
      </c>
      <c r="O8" s="150">
        <v>56.3</v>
      </c>
      <c r="P8" s="142">
        <v>7</v>
      </c>
      <c r="Q8" s="12">
        <v>1.6</v>
      </c>
      <c r="R8" s="151">
        <v>8.5</v>
      </c>
      <c r="S8" s="163">
        <v>2.9</v>
      </c>
      <c r="T8" s="123">
        <v>1.3</v>
      </c>
      <c r="U8" s="152">
        <v>2.9</v>
      </c>
      <c r="V8" s="157">
        <v>3</v>
      </c>
      <c r="W8" s="152">
        <v>1.8</v>
      </c>
      <c r="X8" s="162" t="s">
        <v>30</v>
      </c>
      <c r="Y8" s="163" t="s">
        <v>90</v>
      </c>
      <c r="Z8" s="167">
        <v>23</v>
      </c>
      <c r="AA8" s="326"/>
    </row>
    <row r="9" spans="1:27" ht="18.75" customHeight="1">
      <c r="A9" s="28">
        <v>3</v>
      </c>
      <c r="B9" s="132" t="s">
        <v>91</v>
      </c>
      <c r="C9" s="139" t="s">
        <v>28</v>
      </c>
      <c r="D9" s="127" t="s">
        <v>92</v>
      </c>
      <c r="E9" s="120">
        <v>16</v>
      </c>
      <c r="F9" s="115">
        <v>20.6</v>
      </c>
      <c r="G9" s="57">
        <f>48/16</f>
        <v>3</v>
      </c>
      <c r="H9" s="2">
        <f>121/16</f>
        <v>7.5625</v>
      </c>
      <c r="I9" s="45">
        <v>39.700000000000003</v>
      </c>
      <c r="J9" s="57">
        <f>51/16</f>
        <v>3.1875</v>
      </c>
      <c r="K9" s="2">
        <f>145/16</f>
        <v>9.0625</v>
      </c>
      <c r="L9" s="61">
        <v>35.200000000000003</v>
      </c>
      <c r="M9" s="44">
        <f>81/16</f>
        <v>5.0625</v>
      </c>
      <c r="N9" s="2">
        <f>100/16</f>
        <v>6.25</v>
      </c>
      <c r="O9" s="61">
        <v>81</v>
      </c>
      <c r="P9" s="71">
        <v>3.9</v>
      </c>
      <c r="Q9" s="2">
        <v>0.8</v>
      </c>
      <c r="R9" s="72">
        <v>4.8</v>
      </c>
      <c r="S9" s="103">
        <v>4.8</v>
      </c>
      <c r="T9" s="159">
        <v>0.3</v>
      </c>
      <c r="U9" s="71">
        <v>3.9</v>
      </c>
      <c r="V9" s="110">
        <v>1.7</v>
      </c>
      <c r="W9" s="44">
        <v>2</v>
      </c>
      <c r="X9" s="106" t="s">
        <v>30</v>
      </c>
      <c r="Y9" s="100" t="s">
        <v>93</v>
      </c>
      <c r="Z9" s="166">
        <v>19.600000000000001</v>
      </c>
      <c r="AA9" s="326"/>
    </row>
    <row r="10" spans="1:27" ht="18.75" customHeight="1">
      <c r="A10" s="29">
        <v>4</v>
      </c>
      <c r="B10" s="131" t="s">
        <v>94</v>
      </c>
      <c r="C10" s="140" t="s">
        <v>28</v>
      </c>
      <c r="D10" s="128" t="s">
        <v>81</v>
      </c>
      <c r="E10" s="123">
        <v>20</v>
      </c>
      <c r="F10" s="147">
        <v>20.100000000000001</v>
      </c>
      <c r="G10" s="58">
        <f>101/20</f>
        <v>5.05</v>
      </c>
      <c r="H10" s="13">
        <f>206/20</f>
        <v>10.3</v>
      </c>
      <c r="I10" s="144">
        <v>49</v>
      </c>
      <c r="J10" s="58">
        <f>24/20</f>
        <v>1.2</v>
      </c>
      <c r="K10" s="13">
        <f>75/20</f>
        <v>3.75</v>
      </c>
      <c r="L10" s="149">
        <v>32</v>
      </c>
      <c r="M10" s="148">
        <f>127/20</f>
        <v>6.35</v>
      </c>
      <c r="N10" s="13">
        <f>147/20</f>
        <v>7.35</v>
      </c>
      <c r="O10" s="154">
        <v>86.4</v>
      </c>
      <c r="P10" s="152">
        <v>2.2999999999999998</v>
      </c>
      <c r="Q10" s="13">
        <v>0.7</v>
      </c>
      <c r="R10" s="151">
        <v>3</v>
      </c>
      <c r="S10" s="164">
        <v>2.2999999999999998</v>
      </c>
      <c r="T10" s="123">
        <v>0.1</v>
      </c>
      <c r="U10" s="152">
        <v>2.9</v>
      </c>
      <c r="V10" s="158">
        <v>1.1000000000000001</v>
      </c>
      <c r="W10" s="142">
        <v>1.8</v>
      </c>
      <c r="X10" s="162" t="s">
        <v>30</v>
      </c>
      <c r="Y10" s="163" t="s">
        <v>95</v>
      </c>
      <c r="Z10" s="168">
        <v>16.899999999999999</v>
      </c>
      <c r="AA10" s="326"/>
    </row>
    <row r="11" spans="1:27" ht="18.75" customHeight="1">
      <c r="A11" s="28">
        <v>5</v>
      </c>
      <c r="B11" s="132" t="s">
        <v>96</v>
      </c>
      <c r="C11" s="139" t="s">
        <v>28</v>
      </c>
      <c r="D11" s="127" t="s">
        <v>79</v>
      </c>
      <c r="E11" s="120">
        <v>21</v>
      </c>
      <c r="F11" s="114">
        <v>16.399999999999999</v>
      </c>
      <c r="G11" s="57">
        <f>67/21</f>
        <v>3.1904761904761907</v>
      </c>
      <c r="H11" s="2">
        <f>129/21</f>
        <v>6.1428571428571432</v>
      </c>
      <c r="I11" s="45">
        <v>51.9</v>
      </c>
      <c r="J11" s="57">
        <f>42/21</f>
        <v>2</v>
      </c>
      <c r="K11" s="2">
        <f>121/21</f>
        <v>5.7619047619047619</v>
      </c>
      <c r="L11" s="61">
        <v>34.700000000000003</v>
      </c>
      <c r="M11" s="44">
        <f>85/21</f>
        <v>4.0476190476190474</v>
      </c>
      <c r="N11" s="2">
        <f>105/21</f>
        <v>5</v>
      </c>
      <c r="O11" s="61">
        <v>81</v>
      </c>
      <c r="P11" s="44">
        <v>2.7</v>
      </c>
      <c r="Q11" s="2">
        <v>0.5</v>
      </c>
      <c r="R11" s="72">
        <v>3.2</v>
      </c>
      <c r="S11" s="165">
        <v>2.1</v>
      </c>
      <c r="T11" s="120">
        <v>0.1</v>
      </c>
      <c r="U11" s="44">
        <v>2.2000000000000002</v>
      </c>
      <c r="V11" s="110">
        <v>1.6</v>
      </c>
      <c r="W11" s="71">
        <v>1.7</v>
      </c>
      <c r="X11" s="106" t="s">
        <v>30</v>
      </c>
      <c r="Y11" s="100" t="s">
        <v>97</v>
      </c>
      <c r="Z11" s="169">
        <v>16.8</v>
      </c>
      <c r="AA11" s="326"/>
    </row>
    <row r="12" spans="1:27" ht="18.75" customHeight="1">
      <c r="A12" s="29">
        <v>6</v>
      </c>
      <c r="B12" s="131" t="s">
        <v>98</v>
      </c>
      <c r="C12" s="140" t="s">
        <v>40</v>
      </c>
      <c r="D12" s="128" t="s">
        <v>66</v>
      </c>
      <c r="E12" s="123">
        <v>23</v>
      </c>
      <c r="F12" s="146">
        <v>13.1</v>
      </c>
      <c r="G12" s="58">
        <f>78/23</f>
        <v>3.3913043478260869</v>
      </c>
      <c r="H12" s="13">
        <f>125/23</f>
        <v>5.4347826086956523</v>
      </c>
      <c r="I12" s="143">
        <v>62.4</v>
      </c>
      <c r="J12" s="58">
        <f>38/23</f>
        <v>1.6521739130434783</v>
      </c>
      <c r="K12" s="13">
        <f>119/23</f>
        <v>5.1739130434782608</v>
      </c>
      <c r="L12" s="150">
        <v>31.9</v>
      </c>
      <c r="M12" s="142">
        <f>31/23</f>
        <v>1.3478260869565217</v>
      </c>
      <c r="N12" s="13">
        <f>47/23</f>
        <v>2.0434782608695654</v>
      </c>
      <c r="O12" s="149">
        <v>66</v>
      </c>
      <c r="P12" s="152">
        <v>3.8</v>
      </c>
      <c r="Q12" s="12">
        <v>1.4</v>
      </c>
      <c r="R12" s="153">
        <v>5.2</v>
      </c>
      <c r="S12" s="163">
        <v>3.3</v>
      </c>
      <c r="T12" s="123">
        <v>0.3</v>
      </c>
      <c r="U12" s="152">
        <v>0.8</v>
      </c>
      <c r="V12" s="157">
        <v>1</v>
      </c>
      <c r="W12" s="152">
        <v>1.3</v>
      </c>
      <c r="X12" s="162" t="s">
        <v>30</v>
      </c>
      <c r="Y12" s="171" t="s">
        <v>64</v>
      </c>
      <c r="Z12" s="168">
        <v>16.2</v>
      </c>
      <c r="AA12" s="326"/>
    </row>
    <row r="13" spans="1:27" ht="18.75" customHeight="1">
      <c r="A13" s="28">
        <v>7</v>
      </c>
      <c r="B13" s="132" t="s">
        <v>99</v>
      </c>
      <c r="C13" s="139" t="s">
        <v>28</v>
      </c>
      <c r="D13" s="127" t="s">
        <v>100</v>
      </c>
      <c r="E13" s="120">
        <v>25</v>
      </c>
      <c r="F13" s="114">
        <v>18</v>
      </c>
      <c r="G13" s="57">
        <f>77/25</f>
        <v>3.08</v>
      </c>
      <c r="H13" s="2">
        <f>134/25</f>
        <v>5.36</v>
      </c>
      <c r="I13" s="45">
        <v>57.5</v>
      </c>
      <c r="J13" s="57">
        <f>80/25</f>
        <v>3.2</v>
      </c>
      <c r="K13" s="2">
        <f>184/25</f>
        <v>7.36</v>
      </c>
      <c r="L13" s="61">
        <v>43.5</v>
      </c>
      <c r="M13" s="44">
        <f>55/25</f>
        <v>2.2000000000000002</v>
      </c>
      <c r="N13" s="2">
        <f>69/25</f>
        <v>2.76</v>
      </c>
      <c r="O13" s="62">
        <v>79.7</v>
      </c>
      <c r="P13" s="71">
        <v>1.6</v>
      </c>
      <c r="Q13" s="2">
        <v>0.5</v>
      </c>
      <c r="R13" s="72">
        <v>2</v>
      </c>
      <c r="S13" s="100">
        <v>1.9</v>
      </c>
      <c r="T13" s="120">
        <v>0</v>
      </c>
      <c r="U13" s="44">
        <v>1</v>
      </c>
      <c r="V13" s="110">
        <v>0.6</v>
      </c>
      <c r="W13" s="71">
        <v>1.4</v>
      </c>
      <c r="X13" s="106" t="s">
        <v>30</v>
      </c>
      <c r="Y13" s="100" t="s">
        <v>101</v>
      </c>
      <c r="Z13" s="169">
        <v>15</v>
      </c>
      <c r="AA13" s="326"/>
    </row>
    <row r="14" spans="1:27" ht="18.75" customHeight="1">
      <c r="A14" s="29">
        <v>8</v>
      </c>
      <c r="B14" s="131" t="s">
        <v>102</v>
      </c>
      <c r="C14" s="140" t="s">
        <v>28</v>
      </c>
      <c r="D14" s="128" t="s">
        <v>89</v>
      </c>
      <c r="E14" s="123">
        <v>27</v>
      </c>
      <c r="F14" s="146">
        <v>17.600000000000001</v>
      </c>
      <c r="G14" s="58">
        <f>87/27</f>
        <v>3.2222222222222223</v>
      </c>
      <c r="H14" s="13">
        <f>148/27</f>
        <v>5.4814814814814818</v>
      </c>
      <c r="I14" s="143">
        <v>58.8</v>
      </c>
      <c r="J14" s="58">
        <f>76/27</f>
        <v>2.8148148148148149</v>
      </c>
      <c r="K14" s="13">
        <f>202/27</f>
        <v>7.4814814814814818</v>
      </c>
      <c r="L14" s="149">
        <v>37.6</v>
      </c>
      <c r="M14" s="142">
        <f>73/27</f>
        <v>2.7037037037037037</v>
      </c>
      <c r="N14" s="13">
        <f>92/27</f>
        <v>3.4074074074074074</v>
      </c>
      <c r="O14" s="149">
        <v>79.3</v>
      </c>
      <c r="P14" s="142">
        <v>2</v>
      </c>
      <c r="Q14" s="13">
        <v>0.7</v>
      </c>
      <c r="R14" s="151">
        <v>2.7</v>
      </c>
      <c r="S14" s="164">
        <v>1.9</v>
      </c>
      <c r="T14" s="123">
        <v>0</v>
      </c>
      <c r="U14" s="142">
        <v>2</v>
      </c>
      <c r="V14" s="158">
        <v>1.4</v>
      </c>
      <c r="W14" s="142">
        <v>1.4</v>
      </c>
      <c r="X14" s="162" t="s">
        <v>30</v>
      </c>
      <c r="Y14" s="163" t="s">
        <v>103</v>
      </c>
      <c r="Z14" s="168">
        <v>14.8</v>
      </c>
      <c r="AA14" s="326"/>
    </row>
    <row r="15" spans="1:27" ht="18.75" customHeight="1">
      <c r="A15" s="28">
        <v>9</v>
      </c>
      <c r="B15" s="132" t="s">
        <v>104</v>
      </c>
      <c r="C15" s="139" t="s">
        <v>40</v>
      </c>
      <c r="D15" s="127" t="s">
        <v>44</v>
      </c>
      <c r="E15" s="120">
        <v>23</v>
      </c>
      <c r="F15" s="115">
        <v>14.8</v>
      </c>
      <c r="G15" s="57">
        <f>77/23</f>
        <v>3.347826086956522</v>
      </c>
      <c r="H15" s="2">
        <f>119/23</f>
        <v>5.1739130434782608</v>
      </c>
      <c r="I15" s="46">
        <v>64.7</v>
      </c>
      <c r="J15" s="57">
        <f>21/23</f>
        <v>0.91304347826086951</v>
      </c>
      <c r="K15" s="2">
        <f>65/23</f>
        <v>2.8260869565217392</v>
      </c>
      <c r="L15" s="61">
        <v>32.299999999999997</v>
      </c>
      <c r="M15" s="44">
        <f>46/23</f>
        <v>2</v>
      </c>
      <c r="N15" s="2">
        <f>59/23</f>
        <v>2.5652173913043477</v>
      </c>
      <c r="O15" s="61">
        <v>78</v>
      </c>
      <c r="P15" s="71">
        <v>3.1</v>
      </c>
      <c r="Q15" s="1">
        <v>1.8</v>
      </c>
      <c r="R15" s="72">
        <v>5</v>
      </c>
      <c r="S15" s="100">
        <v>1.5</v>
      </c>
      <c r="T15" s="120">
        <v>0.5</v>
      </c>
      <c r="U15" s="71">
        <v>1.3</v>
      </c>
      <c r="V15" s="110">
        <v>1.7</v>
      </c>
      <c r="W15" s="71">
        <v>1.8</v>
      </c>
      <c r="X15" s="106" t="s">
        <v>30</v>
      </c>
      <c r="Y15" s="100" t="s">
        <v>105</v>
      </c>
      <c r="Z15" s="166">
        <v>14.8</v>
      </c>
      <c r="AA15" s="326"/>
    </row>
    <row r="16" spans="1:27" ht="18.75" customHeight="1">
      <c r="A16" s="29">
        <v>10</v>
      </c>
      <c r="B16" s="131" t="s">
        <v>106</v>
      </c>
      <c r="C16" s="140" t="s">
        <v>40</v>
      </c>
      <c r="D16" s="128" t="s">
        <v>38</v>
      </c>
      <c r="E16" s="123">
        <v>17</v>
      </c>
      <c r="F16" s="146">
        <v>10.7</v>
      </c>
      <c r="G16" s="58">
        <f>43/17</f>
        <v>2.5294117647058822</v>
      </c>
      <c r="H16" s="13">
        <f>77/17</f>
        <v>4.5294117647058822</v>
      </c>
      <c r="I16" s="144">
        <v>55.8</v>
      </c>
      <c r="J16" s="58">
        <f>23/17</f>
        <v>1.3529411764705883</v>
      </c>
      <c r="K16" s="13">
        <f>57/17</f>
        <v>3.3529411764705883</v>
      </c>
      <c r="L16" s="149">
        <v>40.4</v>
      </c>
      <c r="M16" s="142">
        <f>27/17</f>
        <v>1.588235294117647</v>
      </c>
      <c r="N16" s="13">
        <f>47/17</f>
        <v>2.7647058823529411</v>
      </c>
      <c r="O16" s="149">
        <v>57.4</v>
      </c>
      <c r="P16" s="152">
        <v>3.4</v>
      </c>
      <c r="Q16" s="12">
        <v>0.9</v>
      </c>
      <c r="R16" s="151">
        <v>4.3</v>
      </c>
      <c r="S16" s="163">
        <v>4.5</v>
      </c>
      <c r="T16" s="160">
        <v>0.1</v>
      </c>
      <c r="U16" s="142">
        <v>2.4</v>
      </c>
      <c r="V16" s="158">
        <v>1.1000000000000001</v>
      </c>
      <c r="W16" s="152">
        <v>1.6</v>
      </c>
      <c r="X16" s="162" t="s">
        <v>30</v>
      </c>
      <c r="Y16" s="163">
        <v>27.4</v>
      </c>
      <c r="Z16" s="167">
        <v>14.6</v>
      </c>
      <c r="AA16" s="326"/>
    </row>
    <row r="17" spans="1:27" ht="18.75" customHeight="1">
      <c r="A17" s="28">
        <v>11</v>
      </c>
      <c r="B17" s="132" t="s">
        <v>107</v>
      </c>
      <c r="C17" s="139" t="s">
        <v>28</v>
      </c>
      <c r="D17" s="127" t="s">
        <v>69</v>
      </c>
      <c r="E17" s="120">
        <v>17</v>
      </c>
      <c r="F17" s="114">
        <v>11</v>
      </c>
      <c r="G17" s="57">
        <f>57/17</f>
        <v>3.3529411764705883</v>
      </c>
      <c r="H17" s="2">
        <f>83/17</f>
        <v>4.882352941176471</v>
      </c>
      <c r="I17" s="46">
        <v>68.7</v>
      </c>
      <c r="J17" s="57">
        <f>9/17</f>
        <v>0.52941176470588236</v>
      </c>
      <c r="K17" s="2">
        <f>27/17</f>
        <v>1.588235294117647</v>
      </c>
      <c r="L17" s="61">
        <v>33.299999999999997</v>
      </c>
      <c r="M17" s="44">
        <f>46/17</f>
        <v>2.7058823529411766</v>
      </c>
      <c r="N17" s="2">
        <f>61/17</f>
        <v>3.5882352941176472</v>
      </c>
      <c r="O17" s="61">
        <v>75.400000000000006</v>
      </c>
      <c r="P17" s="71">
        <v>2.6</v>
      </c>
      <c r="Q17" s="1">
        <v>0.2</v>
      </c>
      <c r="R17" s="72">
        <v>2.8</v>
      </c>
      <c r="S17" s="100">
        <v>5.0999999999999996</v>
      </c>
      <c r="T17" s="120">
        <v>0.1</v>
      </c>
      <c r="U17" s="71">
        <v>3.1</v>
      </c>
      <c r="V17" s="156">
        <v>1</v>
      </c>
      <c r="W17" s="44">
        <v>2</v>
      </c>
      <c r="X17" s="106" t="s">
        <v>30</v>
      </c>
      <c r="Y17" s="100" t="s">
        <v>108</v>
      </c>
      <c r="Z17" s="166">
        <v>14.5</v>
      </c>
      <c r="AA17" s="326"/>
    </row>
    <row r="18" spans="1:27" ht="18.75" customHeight="1">
      <c r="A18" s="29">
        <v>12</v>
      </c>
      <c r="B18" s="131" t="s">
        <v>109</v>
      </c>
      <c r="C18" s="140" t="s">
        <v>28</v>
      </c>
      <c r="D18" s="128" t="s">
        <v>41</v>
      </c>
      <c r="E18" s="123">
        <v>33</v>
      </c>
      <c r="F18" s="146">
        <v>12.7</v>
      </c>
      <c r="G18" s="58">
        <f>100/33</f>
        <v>3.0303030303030303</v>
      </c>
      <c r="H18" s="13">
        <f>176/33</f>
        <v>5.333333333333333</v>
      </c>
      <c r="I18" s="143">
        <v>56.8</v>
      </c>
      <c r="J18" s="58">
        <f>49/33</f>
        <v>1.4848484848484849</v>
      </c>
      <c r="K18" s="13">
        <f>134/33</f>
        <v>4.0606060606060606</v>
      </c>
      <c r="L18" s="149">
        <v>36.6</v>
      </c>
      <c r="M18" s="142">
        <f>73/33</f>
        <v>2.2121212121212119</v>
      </c>
      <c r="N18" s="13">
        <f>86/33</f>
        <v>2.606060606060606</v>
      </c>
      <c r="O18" s="149">
        <v>84.9</v>
      </c>
      <c r="P18" s="152">
        <v>3.1</v>
      </c>
      <c r="Q18" s="12">
        <v>0.8</v>
      </c>
      <c r="R18" s="151">
        <v>3.8</v>
      </c>
      <c r="S18" s="163">
        <v>2.8</v>
      </c>
      <c r="T18" s="123">
        <v>0</v>
      </c>
      <c r="U18" s="152">
        <v>1.9</v>
      </c>
      <c r="V18" s="158">
        <v>1.1000000000000001</v>
      </c>
      <c r="W18" s="152">
        <v>1.7</v>
      </c>
      <c r="X18" s="162" t="s">
        <v>30</v>
      </c>
      <c r="Y18" s="163" t="s">
        <v>110</v>
      </c>
      <c r="Z18" s="168">
        <v>14.4</v>
      </c>
      <c r="AA18" s="326"/>
    </row>
    <row r="19" spans="1:27" ht="18.75" customHeight="1">
      <c r="A19" s="28">
        <v>13</v>
      </c>
      <c r="B19" s="132" t="s">
        <v>111</v>
      </c>
      <c r="C19" s="139" t="s">
        <v>28</v>
      </c>
      <c r="D19" s="127" t="s">
        <v>35</v>
      </c>
      <c r="E19" s="120">
        <v>20</v>
      </c>
      <c r="F19" s="114">
        <v>10.7</v>
      </c>
      <c r="G19" s="57">
        <f>80/20</f>
        <v>4</v>
      </c>
      <c r="H19" s="2">
        <f>132/20</f>
        <v>6.6</v>
      </c>
      <c r="I19" s="46">
        <v>60.6</v>
      </c>
      <c r="J19" s="57">
        <f>12/20</f>
        <v>0.6</v>
      </c>
      <c r="K19" s="2">
        <f>68/20</f>
        <v>3.4</v>
      </c>
      <c r="L19" s="61">
        <v>17.600000000000001</v>
      </c>
      <c r="M19" s="44">
        <f>18/20</f>
        <v>0.9</v>
      </c>
      <c r="N19" s="2">
        <f>38/20</f>
        <v>1.9</v>
      </c>
      <c r="O19" s="61">
        <v>47.4</v>
      </c>
      <c r="P19" s="71">
        <v>4.5999999999999996</v>
      </c>
      <c r="Q19" s="1">
        <v>2.7</v>
      </c>
      <c r="R19" s="72">
        <v>7.2</v>
      </c>
      <c r="S19" s="100">
        <v>2.6</v>
      </c>
      <c r="T19" s="120">
        <v>0.7</v>
      </c>
      <c r="U19" s="71">
        <v>1.5</v>
      </c>
      <c r="V19" s="110">
        <v>1.6</v>
      </c>
      <c r="W19" s="71">
        <v>2.2999999999999998</v>
      </c>
      <c r="X19" s="106" t="s">
        <v>30</v>
      </c>
      <c r="Y19" s="100" t="s">
        <v>112</v>
      </c>
      <c r="Z19" s="169">
        <v>14.3</v>
      </c>
      <c r="AA19" s="326"/>
    </row>
    <row r="20" spans="1:27" ht="18.75" customHeight="1">
      <c r="A20" s="29">
        <v>14</v>
      </c>
      <c r="B20" s="131" t="s">
        <v>113</v>
      </c>
      <c r="C20" s="140" t="s">
        <v>28</v>
      </c>
      <c r="D20" s="128" t="s">
        <v>33</v>
      </c>
      <c r="E20" s="123">
        <v>13</v>
      </c>
      <c r="F20" s="147">
        <v>14.1</v>
      </c>
      <c r="G20" s="58">
        <f>25/13</f>
        <v>1.9230769230769231</v>
      </c>
      <c r="H20" s="13">
        <f>48/13</f>
        <v>3.6923076923076925</v>
      </c>
      <c r="I20" s="143">
        <v>52.1</v>
      </c>
      <c r="J20" s="58">
        <f>35/13</f>
        <v>2.6923076923076925</v>
      </c>
      <c r="K20" s="13">
        <f>89/13</f>
        <v>6.8461538461538458</v>
      </c>
      <c r="L20" s="149">
        <v>39.299999999999997</v>
      </c>
      <c r="M20" s="142">
        <f>28/13</f>
        <v>2.1538461538461537</v>
      </c>
      <c r="N20" s="13">
        <f>44/13</f>
        <v>3.3846153846153846</v>
      </c>
      <c r="O20" s="149">
        <v>63.6</v>
      </c>
      <c r="P20" s="142">
        <v>3</v>
      </c>
      <c r="Q20" s="12">
        <v>0.8</v>
      </c>
      <c r="R20" s="151">
        <v>3.8</v>
      </c>
      <c r="S20" s="163">
        <v>2.1</v>
      </c>
      <c r="T20" s="160">
        <v>0.1</v>
      </c>
      <c r="U20" s="152">
        <v>1.6</v>
      </c>
      <c r="V20" s="158">
        <v>1.2</v>
      </c>
      <c r="W20" s="152">
        <v>2.1</v>
      </c>
      <c r="X20" s="162" t="s">
        <v>30</v>
      </c>
      <c r="Y20" s="163" t="s">
        <v>114</v>
      </c>
      <c r="Z20" s="167">
        <v>13.9</v>
      </c>
      <c r="AA20" s="326"/>
    </row>
    <row r="21" spans="1:27" ht="18.75" customHeight="1">
      <c r="A21" s="28">
        <v>15</v>
      </c>
      <c r="B21" s="132" t="s">
        <v>115</v>
      </c>
      <c r="C21" s="139" t="s">
        <v>116</v>
      </c>
      <c r="D21" s="127" t="s">
        <v>33</v>
      </c>
      <c r="E21" s="120">
        <v>24</v>
      </c>
      <c r="F21" s="114">
        <v>14.7</v>
      </c>
      <c r="G21" s="57">
        <f>64/24</f>
        <v>2.6666666666666665</v>
      </c>
      <c r="H21" s="2">
        <f>149/24</f>
        <v>6.208333333333333</v>
      </c>
      <c r="I21" s="45">
        <v>43</v>
      </c>
      <c r="J21" s="57">
        <f>52/24</f>
        <v>2.1666666666666665</v>
      </c>
      <c r="K21" s="2">
        <f>143/24</f>
        <v>5.958333333333333</v>
      </c>
      <c r="L21" s="61">
        <v>36.4</v>
      </c>
      <c r="M21" s="44">
        <f>68/24</f>
        <v>2.8333333333333335</v>
      </c>
      <c r="N21" s="2">
        <f>91/24</f>
        <v>3.7916666666666665</v>
      </c>
      <c r="O21" s="61">
        <v>74.7</v>
      </c>
      <c r="P21" s="44">
        <v>3.2</v>
      </c>
      <c r="Q21" s="4">
        <v>0.6</v>
      </c>
      <c r="R21" s="72">
        <v>3.8</v>
      </c>
      <c r="S21" s="103">
        <v>2.4</v>
      </c>
      <c r="T21" s="161">
        <v>0.3</v>
      </c>
      <c r="U21" s="44">
        <v>2</v>
      </c>
      <c r="V21" s="156">
        <v>0.6</v>
      </c>
      <c r="W21" s="44">
        <v>2.2000000000000002</v>
      </c>
      <c r="X21" s="106" t="s">
        <v>30</v>
      </c>
      <c r="Y21" s="100" t="s">
        <v>31</v>
      </c>
      <c r="Z21" s="169">
        <v>11.9</v>
      </c>
      <c r="AA21" s="326"/>
    </row>
    <row r="22" spans="1:27" ht="18.75" customHeight="1">
      <c r="A22" s="124">
        <v>16</v>
      </c>
      <c r="B22" s="131" t="s">
        <v>117</v>
      </c>
      <c r="C22" s="140" t="s">
        <v>28</v>
      </c>
      <c r="D22" s="128" t="s">
        <v>66</v>
      </c>
      <c r="E22" s="123">
        <v>39</v>
      </c>
      <c r="F22" s="147">
        <v>15</v>
      </c>
      <c r="G22" s="58">
        <f>97/39</f>
        <v>2.4871794871794872</v>
      </c>
      <c r="H22" s="13">
        <f>226/39</f>
        <v>5.7948717948717947</v>
      </c>
      <c r="I22" s="143">
        <v>42.9</v>
      </c>
      <c r="J22" s="58">
        <f>97/39</f>
        <v>2.4871794871794872</v>
      </c>
      <c r="K22" s="13">
        <f>278/39</f>
        <v>7.1282051282051286</v>
      </c>
      <c r="L22" s="150">
        <v>34.9</v>
      </c>
      <c r="M22" s="142">
        <f>99/39</f>
        <v>2.5384615384615383</v>
      </c>
      <c r="N22" s="13">
        <f>134/39</f>
        <v>3.4358974358974357</v>
      </c>
      <c r="O22" s="150">
        <v>73.900000000000006</v>
      </c>
      <c r="P22" s="142">
        <v>3</v>
      </c>
      <c r="Q22" s="12">
        <v>0.7</v>
      </c>
      <c r="R22" s="153">
        <v>3.7</v>
      </c>
      <c r="S22" s="163">
        <v>2.5</v>
      </c>
      <c r="T22" s="123">
        <v>0.1</v>
      </c>
      <c r="U22" s="152">
        <v>1.8</v>
      </c>
      <c r="V22" s="158">
        <v>0.8</v>
      </c>
      <c r="W22" s="152">
        <v>1.9</v>
      </c>
      <c r="X22" s="162" t="s">
        <v>30</v>
      </c>
      <c r="Y22" s="172" t="s">
        <v>108</v>
      </c>
      <c r="Z22" s="168">
        <v>11.8</v>
      </c>
      <c r="AA22" s="326"/>
    </row>
    <row r="23" spans="1:27" ht="18.75" customHeight="1">
      <c r="A23" s="125">
        <v>17</v>
      </c>
      <c r="B23" s="132" t="s">
        <v>118</v>
      </c>
      <c r="C23" s="139" t="s">
        <v>28</v>
      </c>
      <c r="D23" s="127" t="s">
        <v>79</v>
      </c>
      <c r="E23" s="120">
        <v>19</v>
      </c>
      <c r="F23" s="114">
        <v>10.8</v>
      </c>
      <c r="G23" s="57">
        <f>42/19</f>
        <v>2.2105263157894739</v>
      </c>
      <c r="H23" s="2">
        <f>99/19</f>
        <v>5.2105263157894735</v>
      </c>
      <c r="I23" s="46">
        <v>42.4</v>
      </c>
      <c r="J23" s="57">
        <f>36/19</f>
        <v>1.8947368421052631</v>
      </c>
      <c r="K23" s="2">
        <f>105/19</f>
        <v>5.5263157894736841</v>
      </c>
      <c r="L23" s="61">
        <v>34.299999999999997</v>
      </c>
      <c r="M23" s="44">
        <f>13/19</f>
        <v>0.68421052631578949</v>
      </c>
      <c r="N23" s="2">
        <f>31/19</f>
        <v>1.631578947368421</v>
      </c>
      <c r="O23" s="61">
        <v>41.9</v>
      </c>
      <c r="P23" s="44">
        <v>4.8</v>
      </c>
      <c r="Q23" s="1">
        <v>0.8</v>
      </c>
      <c r="R23" s="72">
        <v>5.7</v>
      </c>
      <c r="S23" s="100">
        <v>2.1</v>
      </c>
      <c r="T23" s="161">
        <v>0.1</v>
      </c>
      <c r="U23" s="71">
        <v>1.7</v>
      </c>
      <c r="V23" s="156">
        <v>1</v>
      </c>
      <c r="W23" s="71">
        <v>1.4</v>
      </c>
      <c r="X23" s="106" t="s">
        <v>30</v>
      </c>
      <c r="Y23" s="100" t="s">
        <v>36</v>
      </c>
      <c r="Z23" s="169">
        <v>10.199999999999999</v>
      </c>
      <c r="AA23" s="326"/>
    </row>
    <row r="24" spans="1:27" ht="18.75" customHeight="1">
      <c r="A24" s="124">
        <v>18</v>
      </c>
      <c r="B24" s="131" t="s">
        <v>119</v>
      </c>
      <c r="C24" s="140" t="s">
        <v>40</v>
      </c>
      <c r="D24" s="128" t="s">
        <v>38</v>
      </c>
      <c r="E24" s="123">
        <v>18</v>
      </c>
      <c r="F24" s="146">
        <v>10.1</v>
      </c>
      <c r="G24" s="58">
        <f>35/18</f>
        <v>1.9444444444444444</v>
      </c>
      <c r="H24" s="13">
        <f>77/18</f>
        <v>4.2777777777777777</v>
      </c>
      <c r="I24" s="144">
        <v>45.5</v>
      </c>
      <c r="J24" s="58">
        <f>26/18</f>
        <v>1.4444444444444444</v>
      </c>
      <c r="K24" s="13">
        <f>64/18</f>
        <v>3.5555555555555554</v>
      </c>
      <c r="L24" s="149">
        <v>40.6</v>
      </c>
      <c r="M24" s="142">
        <f>33/18</f>
        <v>1.8333333333333333</v>
      </c>
      <c r="N24" s="13">
        <f>49/18</f>
        <v>2.7222222222222223</v>
      </c>
      <c r="O24" s="149">
        <v>67.3</v>
      </c>
      <c r="P24" s="142">
        <v>1.8</v>
      </c>
      <c r="Q24" s="12">
        <v>0.6</v>
      </c>
      <c r="R24" s="151">
        <v>2.4</v>
      </c>
      <c r="S24" s="163">
        <v>3.1</v>
      </c>
      <c r="T24" s="123">
        <v>0.1</v>
      </c>
      <c r="U24" s="152">
        <v>1.6</v>
      </c>
      <c r="V24" s="158">
        <v>1.1000000000000001</v>
      </c>
      <c r="W24" s="142">
        <v>2</v>
      </c>
      <c r="X24" s="162" t="s">
        <v>30</v>
      </c>
      <c r="Y24" s="163">
        <v>27.9</v>
      </c>
      <c r="Z24" s="168">
        <v>10.1</v>
      </c>
      <c r="AA24" s="326"/>
    </row>
    <row r="25" spans="1:27" ht="18.75" customHeight="1">
      <c r="A25" s="125">
        <v>19</v>
      </c>
      <c r="B25" s="132" t="s">
        <v>120</v>
      </c>
      <c r="C25" s="139" t="s">
        <v>40</v>
      </c>
      <c r="D25" s="127" t="s">
        <v>50</v>
      </c>
      <c r="E25" s="120">
        <v>24</v>
      </c>
      <c r="F25" s="115">
        <v>9.3000000000000007</v>
      </c>
      <c r="G25" s="57">
        <f>45/24</f>
        <v>1.875</v>
      </c>
      <c r="H25" s="2">
        <f>93/24</f>
        <v>3.875</v>
      </c>
      <c r="I25" s="46">
        <v>48.4</v>
      </c>
      <c r="J25" s="57">
        <f>38/24</f>
        <v>1.5833333333333333</v>
      </c>
      <c r="K25" s="2">
        <f>129/24</f>
        <v>5.375</v>
      </c>
      <c r="L25" s="62">
        <v>29.5</v>
      </c>
      <c r="M25" s="44">
        <f>18/24</f>
        <v>0.75</v>
      </c>
      <c r="N25" s="2">
        <f>26/24</f>
        <v>1.0833333333333333</v>
      </c>
      <c r="O25" s="62">
        <v>69.2</v>
      </c>
      <c r="P25" s="71">
        <v>3.3</v>
      </c>
      <c r="Q25" s="1">
        <v>0.6</v>
      </c>
      <c r="R25" s="75">
        <v>3.8</v>
      </c>
      <c r="S25" s="100">
        <v>2.8</v>
      </c>
      <c r="T25" s="120">
        <v>0</v>
      </c>
      <c r="U25" s="71">
        <v>1.8</v>
      </c>
      <c r="V25" s="110">
        <v>1.3</v>
      </c>
      <c r="W25" s="71">
        <v>1.6</v>
      </c>
      <c r="X25" s="106" t="s">
        <v>30</v>
      </c>
      <c r="Y25" s="173" t="s">
        <v>121</v>
      </c>
      <c r="Z25" s="166">
        <v>8.5</v>
      </c>
      <c r="AA25" s="326"/>
    </row>
    <row r="26" spans="1:27" ht="18.75" customHeight="1">
      <c r="A26" s="126">
        <v>20</v>
      </c>
      <c r="B26" s="138" t="s">
        <v>122</v>
      </c>
      <c r="C26" s="141" t="s">
        <v>40</v>
      </c>
      <c r="D26" s="129" t="s">
        <v>66</v>
      </c>
      <c r="E26" s="174">
        <v>36</v>
      </c>
      <c r="F26" s="117">
        <v>8.4</v>
      </c>
      <c r="G26" s="175">
        <f>58/36</f>
        <v>1.6111111111111112</v>
      </c>
      <c r="H26" s="48">
        <f>107/36</f>
        <v>2.9722222222222223</v>
      </c>
      <c r="I26" s="145">
        <v>54.2</v>
      </c>
      <c r="J26" s="175">
        <f>41/36</f>
        <v>1.1388888888888888</v>
      </c>
      <c r="K26" s="48">
        <f>143/36</f>
        <v>3.9722222222222223</v>
      </c>
      <c r="L26" s="155">
        <v>28.7</v>
      </c>
      <c r="M26" s="47">
        <f>62/36</f>
        <v>1.7222222222222223</v>
      </c>
      <c r="N26" s="48">
        <f>78/36</f>
        <v>2.1666666666666665</v>
      </c>
      <c r="O26" s="155">
        <v>79.5</v>
      </c>
      <c r="P26" s="76">
        <v>1.7</v>
      </c>
      <c r="Q26" s="85">
        <v>0.5</v>
      </c>
      <c r="R26" s="102">
        <v>2.2000000000000002</v>
      </c>
      <c r="S26" s="102">
        <v>2.1</v>
      </c>
      <c r="T26" s="174">
        <v>0</v>
      </c>
      <c r="U26" s="76">
        <v>1.6</v>
      </c>
      <c r="V26" s="174">
        <v>1.1000000000000001</v>
      </c>
      <c r="W26" s="76">
        <v>2.2999999999999998</v>
      </c>
      <c r="X26" s="176" t="s">
        <v>30</v>
      </c>
      <c r="Y26" s="177" t="s">
        <v>45</v>
      </c>
      <c r="Z26" s="170">
        <v>7.1</v>
      </c>
      <c r="AA26" s="326"/>
    </row>
    <row r="27" spans="1:27" ht="18.75" customHeight="1">
      <c r="A27" s="316"/>
      <c r="B27" s="317"/>
      <c r="C27" s="317"/>
      <c r="D27" s="317"/>
      <c r="E27" s="317"/>
      <c r="F27" s="317"/>
      <c r="G27" s="317"/>
      <c r="H27" s="317"/>
      <c r="I27" s="317"/>
      <c r="J27" s="317"/>
      <c r="K27" s="317"/>
      <c r="L27" s="317"/>
      <c r="M27" s="317"/>
      <c r="N27" s="317"/>
      <c r="O27" s="317"/>
      <c r="P27" s="317"/>
      <c r="Q27" s="317"/>
      <c r="R27" s="317"/>
      <c r="S27" s="317"/>
      <c r="T27" s="317"/>
      <c r="U27" s="317"/>
      <c r="V27" s="317"/>
      <c r="W27" s="317"/>
      <c r="X27" s="317"/>
      <c r="Y27" s="317"/>
      <c r="Z27" s="317"/>
      <c r="AA27" s="318"/>
    </row>
    <row r="28" spans="1:27" ht="18.75" customHeight="1"/>
  </sheetData>
  <mergeCells count="19">
    <mergeCell ref="U5:V5"/>
    <mergeCell ref="AA1:AA26"/>
    <mergeCell ref="A27:AA27"/>
    <mergeCell ref="W5:X5"/>
    <mergeCell ref="A1:Z3"/>
    <mergeCell ref="A4:Z4"/>
    <mergeCell ref="C5:C6"/>
    <mergeCell ref="D5:D6"/>
    <mergeCell ref="E5:E6"/>
    <mergeCell ref="F5:F6"/>
    <mergeCell ref="G5:I5"/>
    <mergeCell ref="J5:L5"/>
    <mergeCell ref="Y5:Y6"/>
    <mergeCell ref="Z5:Z6"/>
    <mergeCell ref="M5:O5"/>
    <mergeCell ref="P5:R5"/>
    <mergeCell ref="A5:B6"/>
    <mergeCell ref="S5:S6"/>
    <mergeCell ref="T5:T6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3B3E6-2E85-4953-ACA0-4302A323B4F6}">
  <dimension ref="A1:AA30"/>
  <sheetViews>
    <sheetView zoomScale="106" zoomScaleNormal="106" workbookViewId="0">
      <selection sqref="A1:Z3"/>
    </sheetView>
  </sheetViews>
  <sheetFormatPr defaultColWidth="9.140625" defaultRowHeight="15"/>
  <cols>
    <col min="1" max="1" width="4.7109375" customWidth="1"/>
    <col min="2" max="2" width="23" customWidth="1"/>
    <col min="3" max="3" width="6" customWidth="1"/>
    <col min="4" max="4" width="14.42578125" customWidth="1"/>
    <col min="5" max="5" width="5.7109375" customWidth="1"/>
    <col min="6" max="6" width="6.140625" customWidth="1"/>
    <col min="7" max="8" width="4.7109375" customWidth="1"/>
    <col min="9" max="9" width="5.7109375" customWidth="1"/>
    <col min="10" max="11" width="4.7109375" customWidth="1"/>
    <col min="12" max="12" width="5.7109375" customWidth="1"/>
    <col min="13" max="14" width="4.7109375" customWidth="1"/>
    <col min="15" max="15" width="5.7109375" customWidth="1"/>
    <col min="16" max="22" width="4.7109375" customWidth="1"/>
    <col min="23" max="23" width="4.5703125" customWidth="1"/>
    <col min="24" max="24" width="4.7109375" customWidth="1"/>
    <col min="25" max="25" width="5.7109375" customWidth="1"/>
    <col min="26" max="26" width="6.140625" customWidth="1"/>
    <col min="27" max="27" width="4.7109375" customWidth="1"/>
    <col min="28" max="255" width="11.42578125" customWidth="1"/>
  </cols>
  <sheetData>
    <row r="1" spans="1:27" ht="12" customHeight="1">
      <c r="A1" s="289" t="s">
        <v>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325"/>
    </row>
    <row r="2" spans="1:27" ht="12" customHeight="1">
      <c r="A2" s="291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326"/>
    </row>
    <row r="3" spans="1:27" ht="12" customHeight="1">
      <c r="A3" s="291"/>
      <c r="B3" s="292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326"/>
    </row>
    <row r="4" spans="1:27" ht="24" customHeight="1">
      <c r="A4" s="327" t="s">
        <v>123</v>
      </c>
      <c r="B4" s="328"/>
      <c r="C4" s="328"/>
      <c r="D4" s="328"/>
      <c r="E4" s="328"/>
      <c r="F4" s="294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294"/>
      <c r="Z4" s="328"/>
      <c r="AA4" s="326"/>
    </row>
    <row r="5" spans="1:27" ht="15.75" customHeight="1">
      <c r="A5" s="312" t="s">
        <v>2</v>
      </c>
      <c r="B5" s="313"/>
      <c r="C5" s="310" t="s">
        <v>3</v>
      </c>
      <c r="D5" s="334" t="s">
        <v>4</v>
      </c>
      <c r="E5" s="299" t="s">
        <v>5</v>
      </c>
      <c r="F5" s="310" t="s">
        <v>6</v>
      </c>
      <c r="G5" s="301" t="s">
        <v>7</v>
      </c>
      <c r="H5" s="302"/>
      <c r="I5" s="303"/>
      <c r="J5" s="301" t="s">
        <v>8</v>
      </c>
      <c r="K5" s="302"/>
      <c r="L5" s="303"/>
      <c r="M5" s="301" t="s">
        <v>9</v>
      </c>
      <c r="N5" s="302"/>
      <c r="O5" s="303"/>
      <c r="P5" s="295" t="s">
        <v>10</v>
      </c>
      <c r="Q5" s="304"/>
      <c r="R5" s="296"/>
      <c r="S5" s="310" t="s">
        <v>11</v>
      </c>
      <c r="T5" s="344" t="s">
        <v>12</v>
      </c>
      <c r="U5" s="301" t="s">
        <v>13</v>
      </c>
      <c r="V5" s="303"/>
      <c r="W5" s="295" t="s">
        <v>14</v>
      </c>
      <c r="X5" s="296"/>
      <c r="Y5" s="297" t="s">
        <v>15</v>
      </c>
      <c r="Z5" s="299" t="s">
        <v>16</v>
      </c>
      <c r="AA5" s="326"/>
    </row>
    <row r="6" spans="1:27" ht="18" customHeight="1">
      <c r="A6" s="314"/>
      <c r="B6" s="315"/>
      <c r="C6" s="311"/>
      <c r="D6" s="335"/>
      <c r="E6" s="300"/>
      <c r="F6" s="311"/>
      <c r="G6" s="17" t="s">
        <v>17</v>
      </c>
      <c r="H6" s="18" t="s">
        <v>18</v>
      </c>
      <c r="I6" s="21" t="s">
        <v>19</v>
      </c>
      <c r="J6" s="17" t="s">
        <v>17</v>
      </c>
      <c r="K6" s="18" t="s">
        <v>18</v>
      </c>
      <c r="L6" s="21" t="s">
        <v>19</v>
      </c>
      <c r="M6" s="17" t="s">
        <v>17</v>
      </c>
      <c r="N6" s="18" t="s">
        <v>18</v>
      </c>
      <c r="O6" s="21" t="s">
        <v>19</v>
      </c>
      <c r="P6" s="68" t="s">
        <v>20</v>
      </c>
      <c r="Q6" s="22" t="s">
        <v>21</v>
      </c>
      <c r="R6" s="69" t="s">
        <v>22</v>
      </c>
      <c r="S6" s="311"/>
      <c r="T6" s="345"/>
      <c r="U6" s="17" t="s">
        <v>23</v>
      </c>
      <c r="V6" s="21" t="s">
        <v>24</v>
      </c>
      <c r="W6" s="68" t="s">
        <v>25</v>
      </c>
      <c r="X6" s="69" t="s">
        <v>26</v>
      </c>
      <c r="Y6" s="298"/>
      <c r="Z6" s="300"/>
      <c r="AA6" s="326"/>
    </row>
    <row r="7" spans="1:27" ht="18.75" customHeight="1">
      <c r="A7" s="28">
        <v>1</v>
      </c>
      <c r="B7" s="132" t="s">
        <v>124</v>
      </c>
      <c r="C7" s="139" t="s">
        <v>28</v>
      </c>
      <c r="D7" s="181" t="s">
        <v>47</v>
      </c>
      <c r="E7" s="36">
        <v>22</v>
      </c>
      <c r="F7" s="52">
        <v>17.100000000000001</v>
      </c>
      <c r="G7" s="44">
        <f>95/22</f>
        <v>4.3181818181818183</v>
      </c>
      <c r="H7" s="2">
        <f>197/22</f>
        <v>8.954545454545455</v>
      </c>
      <c r="I7" s="61">
        <v>48.2</v>
      </c>
      <c r="J7" s="44">
        <f>32/22</f>
        <v>1.4545454545454546</v>
      </c>
      <c r="K7" s="2">
        <f>97/22</f>
        <v>4.4090909090909092</v>
      </c>
      <c r="L7" s="61">
        <v>33</v>
      </c>
      <c r="M7" s="44">
        <f>90/22</f>
        <v>4.0909090909090908</v>
      </c>
      <c r="N7" s="2">
        <f>128/22</f>
        <v>5.8181818181818183</v>
      </c>
      <c r="O7" s="61">
        <v>70.3</v>
      </c>
      <c r="P7" s="71">
        <v>5.4</v>
      </c>
      <c r="Q7" s="1">
        <v>1.6</v>
      </c>
      <c r="R7" s="72">
        <v>7</v>
      </c>
      <c r="S7" s="120">
        <v>2.5</v>
      </c>
      <c r="T7" s="92">
        <v>0.2</v>
      </c>
      <c r="U7" s="44">
        <v>2.2999999999999998</v>
      </c>
      <c r="V7" s="110">
        <v>0.8</v>
      </c>
      <c r="W7" s="71">
        <v>1.4</v>
      </c>
      <c r="X7" s="106" t="s">
        <v>30</v>
      </c>
      <c r="Y7" s="120" t="s">
        <v>31</v>
      </c>
      <c r="Z7" s="114">
        <v>18.600000000000001</v>
      </c>
      <c r="AA7" s="326"/>
    </row>
    <row r="8" spans="1:27" ht="18.75" customHeight="1">
      <c r="A8" s="29">
        <v>2</v>
      </c>
      <c r="B8" s="131" t="s">
        <v>125</v>
      </c>
      <c r="C8" s="178" t="s">
        <v>28</v>
      </c>
      <c r="D8" s="182" t="s">
        <v>50</v>
      </c>
      <c r="E8" s="35">
        <v>37</v>
      </c>
      <c r="F8" s="50">
        <v>13.1</v>
      </c>
      <c r="G8" s="43">
        <f>124/37</f>
        <v>3.3513513513513513</v>
      </c>
      <c r="H8" s="9">
        <f>208/37</f>
        <v>5.6216216216216219</v>
      </c>
      <c r="I8" s="63">
        <v>59.6</v>
      </c>
      <c r="J8" s="43">
        <v>1</v>
      </c>
      <c r="K8" s="9">
        <f>139/37</f>
        <v>3.7567567567567566</v>
      </c>
      <c r="L8" s="63">
        <v>26.6</v>
      </c>
      <c r="M8" s="43">
        <f>126/37</f>
        <v>3.4054054054054053</v>
      </c>
      <c r="N8" s="9">
        <f>161/37</f>
        <v>4.3513513513513518</v>
      </c>
      <c r="O8" s="63">
        <v>78.3</v>
      </c>
      <c r="P8" s="73">
        <v>4.7</v>
      </c>
      <c r="Q8" s="8">
        <v>1.3</v>
      </c>
      <c r="R8" s="74">
        <v>6.1</v>
      </c>
      <c r="S8" s="119">
        <v>3.6</v>
      </c>
      <c r="T8" s="89">
        <v>0.7</v>
      </c>
      <c r="U8" s="73">
        <v>2.2999999999999998</v>
      </c>
      <c r="V8" s="194">
        <v>1</v>
      </c>
      <c r="W8" s="43">
        <v>3</v>
      </c>
      <c r="X8" s="105" t="s">
        <v>30</v>
      </c>
      <c r="Y8" s="203" t="s">
        <v>114</v>
      </c>
      <c r="Z8" s="113">
        <v>16.899999999999999</v>
      </c>
      <c r="AA8" s="326"/>
    </row>
    <row r="9" spans="1:27" ht="18.75" customHeight="1">
      <c r="A9" s="28">
        <v>3</v>
      </c>
      <c r="B9" s="132" t="s">
        <v>126</v>
      </c>
      <c r="C9" s="139" t="s">
        <v>28</v>
      </c>
      <c r="D9" s="181" t="s">
        <v>81</v>
      </c>
      <c r="E9" s="36">
        <v>16</v>
      </c>
      <c r="F9" s="51">
        <v>16.8</v>
      </c>
      <c r="G9" s="44">
        <f>17/16</f>
        <v>1.0625</v>
      </c>
      <c r="H9" s="2">
        <f>39/16</f>
        <v>2.4375</v>
      </c>
      <c r="I9" s="62">
        <v>43.6</v>
      </c>
      <c r="J9" s="44">
        <f>61/16</f>
        <v>3.8125</v>
      </c>
      <c r="K9" s="2">
        <f>139/16</f>
        <v>8.6875</v>
      </c>
      <c r="L9" s="61">
        <v>36.1</v>
      </c>
      <c r="M9" s="44">
        <f>51/16</f>
        <v>3.1875</v>
      </c>
      <c r="N9" s="2">
        <f>62/16</f>
        <v>3.875</v>
      </c>
      <c r="O9" s="61">
        <v>82.3</v>
      </c>
      <c r="P9" s="44">
        <v>2.9</v>
      </c>
      <c r="Q9" s="1">
        <v>0.8</v>
      </c>
      <c r="R9" s="72">
        <v>3.8</v>
      </c>
      <c r="S9" s="120">
        <v>2.1</v>
      </c>
      <c r="T9" s="92">
        <v>0.1</v>
      </c>
      <c r="U9" s="71">
        <v>1.6</v>
      </c>
      <c r="V9" s="156">
        <v>1.1000000000000001</v>
      </c>
      <c r="W9" s="71">
        <v>1.4</v>
      </c>
      <c r="X9" s="106" t="s">
        <v>30</v>
      </c>
      <c r="Y9" s="120" t="s">
        <v>127</v>
      </c>
      <c r="Z9" s="114">
        <v>14.3</v>
      </c>
      <c r="AA9" s="326"/>
    </row>
    <row r="10" spans="1:27" ht="18.75" customHeight="1">
      <c r="A10" s="29">
        <v>4</v>
      </c>
      <c r="B10" s="131" t="s">
        <v>128</v>
      </c>
      <c r="C10" s="178" t="s">
        <v>28</v>
      </c>
      <c r="D10" s="182" t="s">
        <v>79</v>
      </c>
      <c r="E10" s="35">
        <v>20</v>
      </c>
      <c r="F10" s="53">
        <v>12.8</v>
      </c>
      <c r="G10" s="43">
        <f>78/20</f>
        <v>3.9</v>
      </c>
      <c r="H10" s="9">
        <f>139/20</f>
        <v>6.95</v>
      </c>
      <c r="I10" s="60">
        <v>56.1</v>
      </c>
      <c r="J10" s="43">
        <f>9/20</f>
        <v>0.45</v>
      </c>
      <c r="K10" s="9">
        <f>36/20</f>
        <v>1.8</v>
      </c>
      <c r="L10" s="60">
        <v>25</v>
      </c>
      <c r="M10" s="66">
        <f>73/20</f>
        <v>3.65</v>
      </c>
      <c r="N10" s="9">
        <f>101/20</f>
        <v>5.05</v>
      </c>
      <c r="O10" s="192">
        <v>72.3</v>
      </c>
      <c r="P10" s="73">
        <v>3.1</v>
      </c>
      <c r="Q10" s="9">
        <v>2.6</v>
      </c>
      <c r="R10" s="70">
        <v>5.7</v>
      </c>
      <c r="S10" s="196">
        <v>1.9</v>
      </c>
      <c r="T10" s="89">
        <v>0.1</v>
      </c>
      <c r="U10" s="73">
        <v>2.2000000000000002</v>
      </c>
      <c r="V10" s="109">
        <v>1.3</v>
      </c>
      <c r="W10" s="43">
        <v>3.2</v>
      </c>
      <c r="X10" s="105" t="s">
        <v>30</v>
      </c>
      <c r="Y10" s="119" t="s">
        <v>129</v>
      </c>
      <c r="Z10" s="113">
        <v>14.3</v>
      </c>
      <c r="AA10" s="326"/>
    </row>
    <row r="11" spans="1:27" ht="18.75" customHeight="1">
      <c r="A11" s="28">
        <v>5</v>
      </c>
      <c r="B11" s="132" t="s">
        <v>130</v>
      </c>
      <c r="C11" s="139" t="s">
        <v>28</v>
      </c>
      <c r="D11" s="181" t="s">
        <v>44</v>
      </c>
      <c r="E11" s="36">
        <v>17</v>
      </c>
      <c r="F11" s="52">
        <v>14.1</v>
      </c>
      <c r="G11" s="44">
        <f>63/17</f>
        <v>3.7058823529411766</v>
      </c>
      <c r="H11" s="2">
        <f>120/17</f>
        <v>7.0588235294117645</v>
      </c>
      <c r="I11" s="62">
        <v>52.5</v>
      </c>
      <c r="J11" s="44">
        <f>25/17</f>
        <v>1.4705882352941178</v>
      </c>
      <c r="K11" s="2">
        <f>50/17</f>
        <v>2.9411764705882355</v>
      </c>
      <c r="L11" s="61">
        <v>50</v>
      </c>
      <c r="M11" s="44">
        <f>38/17</f>
        <v>2.2352941176470589</v>
      </c>
      <c r="N11" s="2">
        <f>43/17</f>
        <v>2.5294117647058822</v>
      </c>
      <c r="O11" s="62">
        <v>88.4</v>
      </c>
      <c r="P11" s="71">
        <v>2.5</v>
      </c>
      <c r="Q11" s="1">
        <v>0.9</v>
      </c>
      <c r="R11" s="72">
        <v>3.4</v>
      </c>
      <c r="S11" s="120">
        <v>1.2</v>
      </c>
      <c r="T11" s="90">
        <v>0.3</v>
      </c>
      <c r="U11" s="71">
        <v>1.2</v>
      </c>
      <c r="V11" s="156">
        <v>0.6</v>
      </c>
      <c r="W11" s="71">
        <v>1.2</v>
      </c>
      <c r="X11" s="106" t="s">
        <v>30</v>
      </c>
      <c r="Y11" s="120" t="s">
        <v>131</v>
      </c>
      <c r="Z11" s="115">
        <v>13.7</v>
      </c>
      <c r="AA11" s="326"/>
    </row>
    <row r="12" spans="1:27" ht="18.75" customHeight="1">
      <c r="A12" s="29">
        <v>6</v>
      </c>
      <c r="B12" s="131" t="s">
        <v>132</v>
      </c>
      <c r="C12" s="178" t="s">
        <v>28</v>
      </c>
      <c r="D12" s="182" t="s">
        <v>41</v>
      </c>
      <c r="E12" s="35">
        <v>28</v>
      </c>
      <c r="F12" s="50">
        <v>15.4</v>
      </c>
      <c r="G12" s="43">
        <f>97/28</f>
        <v>3.4642857142857144</v>
      </c>
      <c r="H12" s="9">
        <f>191/28</f>
        <v>6.8214285714285712</v>
      </c>
      <c r="I12" s="63">
        <v>50.8</v>
      </c>
      <c r="J12" s="43">
        <f>50/28</f>
        <v>1.7857142857142858</v>
      </c>
      <c r="K12" s="9">
        <f>141/28</f>
        <v>5.0357142857142856</v>
      </c>
      <c r="L12" s="60">
        <v>35.5</v>
      </c>
      <c r="M12" s="43">
        <f>87/28</f>
        <v>3.1071428571428572</v>
      </c>
      <c r="N12" s="9">
        <f>108/28</f>
        <v>3.8571428571428572</v>
      </c>
      <c r="O12" s="63">
        <v>80.599999999999994</v>
      </c>
      <c r="P12" s="73">
        <v>2.7</v>
      </c>
      <c r="Q12" s="8">
        <v>1.1000000000000001</v>
      </c>
      <c r="R12" s="70">
        <v>3.8</v>
      </c>
      <c r="S12" s="119">
        <v>1.4</v>
      </c>
      <c r="T12" s="89">
        <v>0</v>
      </c>
      <c r="U12" s="73">
        <v>1.3</v>
      </c>
      <c r="V12" s="109">
        <v>0.6</v>
      </c>
      <c r="W12" s="73">
        <v>2.2999999999999998</v>
      </c>
      <c r="X12" s="105" t="s">
        <v>30</v>
      </c>
      <c r="Y12" s="119" t="s">
        <v>133</v>
      </c>
      <c r="Z12" s="113">
        <v>13.5</v>
      </c>
      <c r="AA12" s="326"/>
    </row>
    <row r="13" spans="1:27" ht="18.75" customHeight="1">
      <c r="A13" s="28">
        <v>7</v>
      </c>
      <c r="B13" s="132" t="s">
        <v>134</v>
      </c>
      <c r="C13" s="139" t="s">
        <v>40</v>
      </c>
      <c r="D13" s="181" t="s">
        <v>33</v>
      </c>
      <c r="E13" s="36">
        <v>16</v>
      </c>
      <c r="F13" s="51">
        <v>13.4</v>
      </c>
      <c r="G13" s="44">
        <f>65/16</f>
        <v>4.0625</v>
      </c>
      <c r="H13" s="2">
        <f>113/16</f>
        <v>7.0625</v>
      </c>
      <c r="I13" s="61">
        <v>57.5</v>
      </c>
      <c r="J13" s="44">
        <f>15/16</f>
        <v>0.9375</v>
      </c>
      <c r="K13" s="2">
        <f>61/16</f>
        <v>3.8125</v>
      </c>
      <c r="L13" s="188">
        <v>24.6</v>
      </c>
      <c r="M13" s="44">
        <f>39/16</f>
        <v>2.4375</v>
      </c>
      <c r="N13" s="2">
        <f>54/16</f>
        <v>3.375</v>
      </c>
      <c r="O13" s="62">
        <v>72.2</v>
      </c>
      <c r="P13" s="44">
        <v>3.7</v>
      </c>
      <c r="Q13" s="1">
        <v>1.7</v>
      </c>
      <c r="R13" s="72">
        <v>5.4</v>
      </c>
      <c r="S13" s="120">
        <v>1.3</v>
      </c>
      <c r="T13" s="90">
        <v>0.2</v>
      </c>
      <c r="U13" s="44">
        <v>2.2000000000000002</v>
      </c>
      <c r="V13" s="156">
        <v>1.1000000000000001</v>
      </c>
      <c r="W13" s="44">
        <v>2</v>
      </c>
      <c r="X13" s="106" t="s">
        <v>30</v>
      </c>
      <c r="Y13" s="120" t="s">
        <v>135</v>
      </c>
      <c r="Z13" s="114">
        <v>12.3</v>
      </c>
      <c r="AA13" s="326"/>
    </row>
    <row r="14" spans="1:27" ht="18.75" customHeight="1">
      <c r="A14" s="29">
        <v>8</v>
      </c>
      <c r="B14" s="131" t="s">
        <v>136</v>
      </c>
      <c r="C14" s="178" t="s">
        <v>28</v>
      </c>
      <c r="D14" s="182" t="s">
        <v>41</v>
      </c>
      <c r="E14" s="35">
        <v>32</v>
      </c>
      <c r="F14" s="50">
        <v>11.3</v>
      </c>
      <c r="G14" s="43">
        <f>94/32</f>
        <v>2.9375</v>
      </c>
      <c r="H14" s="9">
        <f>173/32</f>
        <v>5.40625</v>
      </c>
      <c r="I14" s="63">
        <v>54.3</v>
      </c>
      <c r="J14" s="43">
        <f>43/32</f>
        <v>1.34375</v>
      </c>
      <c r="K14" s="9">
        <f>122/32</f>
        <v>3.8125</v>
      </c>
      <c r="L14" s="60">
        <v>35.200000000000003</v>
      </c>
      <c r="M14" s="43">
        <f>43/32</f>
        <v>1.34375</v>
      </c>
      <c r="N14" s="9">
        <f>57/32</f>
        <v>1.78125</v>
      </c>
      <c r="O14" s="63">
        <v>75.400000000000006</v>
      </c>
      <c r="P14" s="73">
        <v>3.1</v>
      </c>
      <c r="Q14" s="8">
        <v>1.5</v>
      </c>
      <c r="R14" s="70">
        <v>4.5999999999999996</v>
      </c>
      <c r="S14" s="119">
        <v>1.6</v>
      </c>
      <c r="T14" s="89">
        <v>0.4</v>
      </c>
      <c r="U14" s="43">
        <v>1</v>
      </c>
      <c r="V14" s="194">
        <v>1</v>
      </c>
      <c r="W14" s="73">
        <v>2.2999999999999998</v>
      </c>
      <c r="X14" s="105" t="s">
        <v>30</v>
      </c>
      <c r="Y14" s="119" t="s">
        <v>137</v>
      </c>
      <c r="Z14" s="113">
        <v>11.9</v>
      </c>
      <c r="AA14" s="326"/>
    </row>
    <row r="15" spans="1:27" ht="18.75" customHeight="1">
      <c r="A15" s="28">
        <v>9</v>
      </c>
      <c r="B15" s="132" t="s">
        <v>138</v>
      </c>
      <c r="C15" s="139" t="s">
        <v>40</v>
      </c>
      <c r="D15" s="181" t="s">
        <v>66</v>
      </c>
      <c r="E15" s="36">
        <v>34</v>
      </c>
      <c r="F15" s="52">
        <v>7.7</v>
      </c>
      <c r="G15" s="44">
        <f>66/34</f>
        <v>1.9411764705882353</v>
      </c>
      <c r="H15" s="2">
        <f>121/34</f>
        <v>3.5588235294117645</v>
      </c>
      <c r="I15" s="62">
        <v>54.5</v>
      </c>
      <c r="J15" s="44">
        <f>25/34</f>
        <v>0.73529411764705888</v>
      </c>
      <c r="K15" s="2">
        <f>75/34</f>
        <v>2.2058823529411766</v>
      </c>
      <c r="L15" s="62">
        <v>33.299999999999997</v>
      </c>
      <c r="M15" s="44">
        <f>54/34</f>
        <v>1.588235294117647</v>
      </c>
      <c r="N15" s="2">
        <f>88/34</f>
        <v>2.5882352941176472</v>
      </c>
      <c r="O15" s="62">
        <v>61.4</v>
      </c>
      <c r="P15" s="71">
        <v>3.9</v>
      </c>
      <c r="Q15" s="1">
        <v>0.8</v>
      </c>
      <c r="R15" s="75">
        <v>4.7</v>
      </c>
      <c r="S15" s="120">
        <v>3.4</v>
      </c>
      <c r="T15" s="90">
        <v>0.3</v>
      </c>
      <c r="U15" s="71">
        <v>1.4</v>
      </c>
      <c r="V15" s="110">
        <v>1.2</v>
      </c>
      <c r="W15" s="71">
        <v>2.6</v>
      </c>
      <c r="X15" s="106" t="s">
        <v>30</v>
      </c>
      <c r="Y15" s="204" t="s">
        <v>45</v>
      </c>
      <c r="Z15" s="115">
        <v>11.5</v>
      </c>
      <c r="AA15" s="326"/>
    </row>
    <row r="16" spans="1:27" ht="18.75" customHeight="1">
      <c r="A16" s="29">
        <v>10</v>
      </c>
      <c r="B16" s="131" t="s">
        <v>139</v>
      </c>
      <c r="C16" s="178" t="s">
        <v>28</v>
      </c>
      <c r="D16" s="182" t="s">
        <v>38</v>
      </c>
      <c r="E16" s="35">
        <v>12</v>
      </c>
      <c r="F16" s="53">
        <v>13.4</v>
      </c>
      <c r="G16" s="43">
        <f>31/12</f>
        <v>2.5833333333333335</v>
      </c>
      <c r="H16" s="9">
        <f>68/12</f>
        <v>5.666666666666667</v>
      </c>
      <c r="I16" s="60">
        <v>45.6</v>
      </c>
      <c r="J16" s="43">
        <f>28/12</f>
        <v>2.3333333333333335</v>
      </c>
      <c r="K16" s="9">
        <f>91/12</f>
        <v>7.583333333333333</v>
      </c>
      <c r="L16" s="60">
        <v>30.8</v>
      </c>
      <c r="M16" s="43">
        <f>15/12</f>
        <v>1.25</v>
      </c>
      <c r="N16" s="9">
        <f>20/15</f>
        <v>1.3333333333333333</v>
      </c>
      <c r="O16" s="60">
        <v>75</v>
      </c>
      <c r="P16" s="73">
        <v>4.3</v>
      </c>
      <c r="Q16" s="9">
        <v>0.5</v>
      </c>
      <c r="R16" s="70">
        <v>4.8</v>
      </c>
      <c r="S16" s="119">
        <v>2.7</v>
      </c>
      <c r="T16" s="89">
        <v>0.1</v>
      </c>
      <c r="U16" s="43">
        <v>1.4</v>
      </c>
      <c r="V16" s="109">
        <v>1.3</v>
      </c>
      <c r="W16" s="73">
        <v>2.2999999999999998</v>
      </c>
      <c r="X16" s="105" t="s">
        <v>30</v>
      </c>
      <c r="Y16" s="119">
        <v>32.200000000000003</v>
      </c>
      <c r="Z16" s="116">
        <v>10.9</v>
      </c>
      <c r="AA16" s="326"/>
    </row>
    <row r="17" spans="1:27" ht="18.75" customHeight="1">
      <c r="A17" s="28">
        <v>11</v>
      </c>
      <c r="B17" s="132" t="s">
        <v>140</v>
      </c>
      <c r="C17" s="139" t="s">
        <v>28</v>
      </c>
      <c r="D17" s="181" t="s">
        <v>69</v>
      </c>
      <c r="E17" s="36">
        <v>17</v>
      </c>
      <c r="F17" s="51">
        <v>12.9</v>
      </c>
      <c r="G17" s="44">
        <f>76/17</f>
        <v>4.4705882352941178</v>
      </c>
      <c r="H17" s="2">
        <f>132/17</f>
        <v>7.7647058823529411</v>
      </c>
      <c r="I17" s="61">
        <v>57.6</v>
      </c>
      <c r="J17" s="44">
        <f>16/17</f>
        <v>0.94117647058823528</v>
      </c>
      <c r="K17" s="2">
        <f>41/17</f>
        <v>2.4117647058823528</v>
      </c>
      <c r="L17" s="61">
        <v>39</v>
      </c>
      <c r="M17" s="44">
        <f>20/17</f>
        <v>1.1764705882352942</v>
      </c>
      <c r="N17" s="2">
        <f>35/17</f>
        <v>2.0588235294117645</v>
      </c>
      <c r="O17" s="62">
        <v>57.1</v>
      </c>
      <c r="P17" s="71">
        <v>2.2999999999999998</v>
      </c>
      <c r="Q17" s="2">
        <v>1.9</v>
      </c>
      <c r="R17" s="72">
        <v>4.2</v>
      </c>
      <c r="S17" s="120">
        <v>1.8</v>
      </c>
      <c r="T17" s="90">
        <v>0.2</v>
      </c>
      <c r="U17" s="44">
        <v>1.7</v>
      </c>
      <c r="V17" s="156">
        <v>0.8</v>
      </c>
      <c r="W17" s="44">
        <v>3.2</v>
      </c>
      <c r="X17" s="106" t="s">
        <v>30</v>
      </c>
      <c r="Y17" s="120" t="s">
        <v>141</v>
      </c>
      <c r="Z17" s="114">
        <v>10.9</v>
      </c>
      <c r="AA17" s="326"/>
    </row>
    <row r="18" spans="1:27" ht="18.75" customHeight="1">
      <c r="A18" s="29">
        <v>12</v>
      </c>
      <c r="B18" s="131" t="s">
        <v>142</v>
      </c>
      <c r="C18" s="178" t="s">
        <v>40</v>
      </c>
      <c r="D18" s="182" t="s">
        <v>53</v>
      </c>
      <c r="E18" s="35">
        <v>21</v>
      </c>
      <c r="F18" s="50">
        <v>10.6</v>
      </c>
      <c r="G18" s="43">
        <f>46/21</f>
        <v>2.1904761904761907</v>
      </c>
      <c r="H18" s="9">
        <f>82/21</f>
        <v>3.9047619047619047</v>
      </c>
      <c r="I18" s="63">
        <v>56.1</v>
      </c>
      <c r="J18" s="43">
        <v>1.4</v>
      </c>
      <c r="K18" s="9">
        <v>4.2</v>
      </c>
      <c r="L18" s="60">
        <v>34.1</v>
      </c>
      <c r="M18" s="43">
        <f>40/21</f>
        <v>1.9047619047619047</v>
      </c>
      <c r="N18" s="9">
        <f>62/21</f>
        <v>2.9523809523809526</v>
      </c>
      <c r="O18" s="60">
        <v>64.5</v>
      </c>
      <c r="P18" s="73">
        <v>3.2</v>
      </c>
      <c r="Q18" s="9">
        <v>1</v>
      </c>
      <c r="R18" s="70">
        <v>4.2</v>
      </c>
      <c r="S18" s="196">
        <v>1</v>
      </c>
      <c r="T18" s="89">
        <v>0.5</v>
      </c>
      <c r="U18" s="73">
        <v>1.6</v>
      </c>
      <c r="V18" s="109">
        <v>0.8</v>
      </c>
      <c r="W18" s="43">
        <v>2</v>
      </c>
      <c r="X18" s="105" t="s">
        <v>30</v>
      </c>
      <c r="Y18" s="119" t="s">
        <v>143</v>
      </c>
      <c r="Z18" s="113">
        <v>10.6</v>
      </c>
      <c r="AA18" s="326"/>
    </row>
    <row r="19" spans="1:27" ht="18.75" customHeight="1">
      <c r="A19" s="28">
        <v>13</v>
      </c>
      <c r="B19" s="132" t="s">
        <v>144</v>
      </c>
      <c r="C19" s="139" t="s">
        <v>116</v>
      </c>
      <c r="D19" s="181" t="s">
        <v>69</v>
      </c>
      <c r="E19" s="36">
        <v>18</v>
      </c>
      <c r="F19" s="52">
        <v>10.3</v>
      </c>
      <c r="G19" s="44">
        <f>32/18</f>
        <v>1.7777777777777777</v>
      </c>
      <c r="H19" s="2">
        <f>55/18</f>
        <v>3.0555555555555554</v>
      </c>
      <c r="I19" s="61">
        <v>58.2</v>
      </c>
      <c r="J19" s="44">
        <f>30/18</f>
        <v>1.6666666666666667</v>
      </c>
      <c r="K19" s="2">
        <f>77/18</f>
        <v>4.2777777777777777</v>
      </c>
      <c r="L19" s="61">
        <v>39</v>
      </c>
      <c r="M19" s="44">
        <f>31/18</f>
        <v>1.7222222222222223</v>
      </c>
      <c r="N19" s="2">
        <f>45/18</f>
        <v>2.5</v>
      </c>
      <c r="O19" s="61">
        <v>68.900000000000006</v>
      </c>
      <c r="P19" s="71">
        <v>3.3</v>
      </c>
      <c r="Q19" s="1">
        <v>0.9</v>
      </c>
      <c r="R19" s="72">
        <v>4.3</v>
      </c>
      <c r="S19" s="120">
        <v>0.8</v>
      </c>
      <c r="T19" s="90">
        <v>0.1</v>
      </c>
      <c r="U19" s="44">
        <v>1.3</v>
      </c>
      <c r="V19" s="110">
        <v>0.6</v>
      </c>
      <c r="W19" s="44">
        <v>2</v>
      </c>
      <c r="X19" s="106" t="s">
        <v>30</v>
      </c>
      <c r="Y19" s="120" t="s">
        <v>145</v>
      </c>
      <c r="Z19" s="114">
        <v>9.8000000000000007</v>
      </c>
      <c r="AA19" s="326"/>
    </row>
    <row r="20" spans="1:27" ht="18.75" customHeight="1">
      <c r="A20" s="337">
        <v>14</v>
      </c>
      <c r="B20" s="340" t="s">
        <v>146</v>
      </c>
      <c r="C20" s="341" t="s">
        <v>40</v>
      </c>
      <c r="D20" s="182" t="s">
        <v>147</v>
      </c>
      <c r="E20" s="35">
        <v>4</v>
      </c>
      <c r="F20" s="342">
        <v>9.3000000000000007</v>
      </c>
      <c r="G20" s="43">
        <f>13/4</f>
        <v>3.25</v>
      </c>
      <c r="H20" s="9">
        <f>21/4</f>
        <v>5.25</v>
      </c>
      <c r="I20" s="60">
        <v>61.9</v>
      </c>
      <c r="J20" s="43">
        <f>2/4</f>
        <v>0.5</v>
      </c>
      <c r="K20" s="9">
        <f>11/4</f>
        <v>2.75</v>
      </c>
      <c r="L20" s="60">
        <v>18.2</v>
      </c>
      <c r="M20" s="43">
        <f>10/4</f>
        <v>2.5</v>
      </c>
      <c r="N20" s="9">
        <f>12/4</f>
        <v>3</v>
      </c>
      <c r="O20" s="60">
        <v>83.3</v>
      </c>
      <c r="P20" s="43">
        <v>2.5</v>
      </c>
      <c r="Q20" s="11">
        <v>0.8</v>
      </c>
      <c r="R20" s="70">
        <v>3.3</v>
      </c>
      <c r="S20" s="196">
        <v>2.2999999999999998</v>
      </c>
      <c r="T20" s="91">
        <v>0.3</v>
      </c>
      <c r="U20" s="43">
        <v>1.5</v>
      </c>
      <c r="V20" s="194">
        <v>0.5</v>
      </c>
      <c r="W20" s="43">
        <v>2.8</v>
      </c>
      <c r="X20" s="105" t="s">
        <v>30</v>
      </c>
      <c r="Y20" s="119" t="s">
        <v>148</v>
      </c>
      <c r="Z20" s="343">
        <v>8.6</v>
      </c>
      <c r="AA20" s="326"/>
    </row>
    <row r="21" spans="1:27" ht="18.75" customHeight="1">
      <c r="A21" s="338"/>
      <c r="B21" s="340"/>
      <c r="C21" s="341"/>
      <c r="D21" s="182" t="s">
        <v>69</v>
      </c>
      <c r="E21" s="35">
        <v>16</v>
      </c>
      <c r="F21" s="342"/>
      <c r="G21" s="43">
        <f>29/16</f>
        <v>1.8125</v>
      </c>
      <c r="H21" s="9">
        <f>51/16</f>
        <v>3.1875</v>
      </c>
      <c r="I21" s="60">
        <v>56.9</v>
      </c>
      <c r="J21" s="43">
        <f>19/16</f>
        <v>1.1875</v>
      </c>
      <c r="K21" s="9">
        <f>47/16</f>
        <v>2.9375</v>
      </c>
      <c r="L21" s="60">
        <v>40.4</v>
      </c>
      <c r="M21" s="43">
        <f>13/16</f>
        <v>0.8125</v>
      </c>
      <c r="N21" s="9">
        <f>20/16</f>
        <v>1.25</v>
      </c>
      <c r="O21" s="60">
        <v>65</v>
      </c>
      <c r="P21" s="73">
        <v>1.7</v>
      </c>
      <c r="Q21" s="9">
        <v>0.6</v>
      </c>
      <c r="R21" s="70">
        <v>2.2999999999999998</v>
      </c>
      <c r="S21" s="119">
        <v>1.5</v>
      </c>
      <c r="T21" s="89">
        <v>0.1</v>
      </c>
      <c r="U21" s="73">
        <v>1.6</v>
      </c>
      <c r="V21" s="109">
        <v>1.1000000000000001</v>
      </c>
      <c r="W21" s="73">
        <v>2.7</v>
      </c>
      <c r="X21" s="105" t="s">
        <v>30</v>
      </c>
      <c r="Y21" s="119" t="s">
        <v>149</v>
      </c>
      <c r="Z21" s="343"/>
      <c r="AA21" s="326"/>
    </row>
    <row r="22" spans="1:27" ht="18.75" customHeight="1">
      <c r="A22" s="125">
        <v>15</v>
      </c>
      <c r="B22" s="132" t="s">
        <v>150</v>
      </c>
      <c r="C22" s="139" t="s">
        <v>40</v>
      </c>
      <c r="D22" s="181" t="s">
        <v>63</v>
      </c>
      <c r="E22" s="36">
        <v>22</v>
      </c>
      <c r="F22" s="51">
        <v>5.5</v>
      </c>
      <c r="G22" s="44">
        <f>21/22</f>
        <v>0.95454545454545459</v>
      </c>
      <c r="H22" s="2">
        <f>58/22</f>
        <v>2.6363636363636362</v>
      </c>
      <c r="I22" s="61">
        <v>36.200000000000003</v>
      </c>
      <c r="J22" s="44">
        <f>23/22</f>
        <v>1.0454545454545454</v>
      </c>
      <c r="K22" s="2">
        <f>72/22</f>
        <v>3.2727272727272729</v>
      </c>
      <c r="L22" s="61">
        <v>31.9</v>
      </c>
      <c r="M22" s="44">
        <f>9/22</f>
        <v>0.40909090909090912</v>
      </c>
      <c r="N22" s="2">
        <f>13/22</f>
        <v>0.59090909090909094</v>
      </c>
      <c r="O22" s="62">
        <v>69.2</v>
      </c>
      <c r="P22" s="44">
        <v>3.5</v>
      </c>
      <c r="Q22" s="2">
        <v>1</v>
      </c>
      <c r="R22" s="72">
        <v>4.5</v>
      </c>
      <c r="S22" s="120">
        <v>2.8</v>
      </c>
      <c r="T22" s="90">
        <v>0.2</v>
      </c>
      <c r="U22" s="44">
        <v>1</v>
      </c>
      <c r="V22" s="156">
        <v>1.9</v>
      </c>
      <c r="W22" s="44">
        <v>2.6</v>
      </c>
      <c r="X22" s="106" t="s">
        <v>30</v>
      </c>
      <c r="Y22" s="120" t="s">
        <v>151</v>
      </c>
      <c r="Z22" s="114">
        <v>8.6</v>
      </c>
      <c r="AA22" s="326"/>
    </row>
    <row r="23" spans="1:27" ht="18.75" customHeight="1">
      <c r="A23" s="339">
        <v>16</v>
      </c>
      <c r="B23" s="340" t="s">
        <v>152</v>
      </c>
      <c r="C23" s="341" t="s">
        <v>40</v>
      </c>
      <c r="D23" s="182" t="s">
        <v>41</v>
      </c>
      <c r="E23" s="35">
        <v>19</v>
      </c>
      <c r="F23" s="346">
        <v>7.3</v>
      </c>
      <c r="G23" s="43">
        <f>35/19</f>
        <v>1.8421052631578947</v>
      </c>
      <c r="H23" s="9">
        <f>70/19</f>
        <v>3.6842105263157894</v>
      </c>
      <c r="I23" s="60">
        <v>50</v>
      </c>
      <c r="J23" s="43">
        <f>7/19</f>
        <v>0.36842105263157893</v>
      </c>
      <c r="K23" s="9">
        <f>25/19</f>
        <v>1.3157894736842106</v>
      </c>
      <c r="L23" s="60">
        <v>28</v>
      </c>
      <c r="M23" s="43">
        <f>8/19</f>
        <v>0.42105263157894735</v>
      </c>
      <c r="N23" s="9">
        <f>12/19</f>
        <v>0.63157894736842102</v>
      </c>
      <c r="O23" s="63">
        <v>66.7</v>
      </c>
      <c r="P23" s="73">
        <v>1.4</v>
      </c>
      <c r="Q23" s="9">
        <v>1</v>
      </c>
      <c r="R23" s="70">
        <v>2.4</v>
      </c>
      <c r="S23" s="119">
        <v>0.7</v>
      </c>
      <c r="T23" s="89">
        <v>0</v>
      </c>
      <c r="U23" s="73">
        <v>0.6</v>
      </c>
      <c r="V23" s="109">
        <v>0.4</v>
      </c>
      <c r="W23" s="73">
        <v>1.2</v>
      </c>
      <c r="X23" s="105" t="s">
        <v>30</v>
      </c>
      <c r="Y23" s="119" t="s">
        <v>153</v>
      </c>
      <c r="Z23" s="336">
        <v>8.5</v>
      </c>
      <c r="AA23" s="326"/>
    </row>
    <row r="24" spans="1:27" ht="18.75" customHeight="1">
      <c r="A24" s="338"/>
      <c r="B24" s="340"/>
      <c r="C24" s="341"/>
      <c r="D24" s="182" t="s">
        <v>92</v>
      </c>
      <c r="E24" s="35">
        <v>10</v>
      </c>
      <c r="F24" s="346"/>
      <c r="G24" s="43">
        <v>2.5</v>
      </c>
      <c r="H24" s="9">
        <v>5.3</v>
      </c>
      <c r="I24" s="63">
        <v>47.2</v>
      </c>
      <c r="J24" s="43">
        <v>0.8</v>
      </c>
      <c r="K24" s="9">
        <v>2.2000000000000002</v>
      </c>
      <c r="L24" s="60">
        <v>36.4</v>
      </c>
      <c r="M24" s="43">
        <v>2</v>
      </c>
      <c r="N24" s="9">
        <v>3.1</v>
      </c>
      <c r="O24" s="60">
        <v>64.5</v>
      </c>
      <c r="P24" s="73">
        <v>4.7</v>
      </c>
      <c r="Q24" s="9">
        <v>2.5</v>
      </c>
      <c r="R24" s="70">
        <v>7.2</v>
      </c>
      <c r="S24" s="196">
        <v>2.9</v>
      </c>
      <c r="T24" s="89">
        <v>0</v>
      </c>
      <c r="U24" s="73">
        <v>1.5</v>
      </c>
      <c r="V24" s="194">
        <v>1</v>
      </c>
      <c r="W24" s="73">
        <v>2.1</v>
      </c>
      <c r="X24" s="105" t="s">
        <v>30</v>
      </c>
      <c r="Y24" s="119" t="s">
        <v>154</v>
      </c>
      <c r="Z24" s="336"/>
      <c r="AA24" s="326"/>
    </row>
    <row r="25" spans="1:27" ht="18.75" customHeight="1">
      <c r="A25" s="125">
        <v>17</v>
      </c>
      <c r="B25" s="132" t="s">
        <v>155</v>
      </c>
      <c r="C25" s="139" t="s">
        <v>40</v>
      </c>
      <c r="D25" s="181" t="s">
        <v>92</v>
      </c>
      <c r="E25" s="36">
        <v>15</v>
      </c>
      <c r="F25" s="51">
        <v>7.7</v>
      </c>
      <c r="G25" s="44">
        <f>47/15</f>
        <v>3.1333333333333333</v>
      </c>
      <c r="H25" s="2">
        <f>80/15</f>
        <v>5.333333333333333</v>
      </c>
      <c r="I25" s="62">
        <v>58.8</v>
      </c>
      <c r="J25" s="186">
        <v>0</v>
      </c>
      <c r="K25" s="2">
        <f>9/15</f>
        <v>0.6</v>
      </c>
      <c r="L25" s="188">
        <v>0</v>
      </c>
      <c r="M25" s="44">
        <f>21/15</f>
        <v>1.4</v>
      </c>
      <c r="N25" s="2">
        <f>38/15</f>
        <v>2.5333333333333332</v>
      </c>
      <c r="O25" s="61">
        <v>55.3</v>
      </c>
      <c r="P25" s="44">
        <v>2.7</v>
      </c>
      <c r="Q25" s="1">
        <v>1.3</v>
      </c>
      <c r="R25" s="72">
        <v>4</v>
      </c>
      <c r="S25" s="120">
        <v>0.7</v>
      </c>
      <c r="T25" s="92">
        <v>0.5</v>
      </c>
      <c r="U25" s="71">
        <v>1.5</v>
      </c>
      <c r="V25" s="110">
        <v>1.2</v>
      </c>
      <c r="W25" s="44">
        <v>2</v>
      </c>
      <c r="X25" s="106" t="s">
        <v>30</v>
      </c>
      <c r="Y25" s="120" t="s">
        <v>156</v>
      </c>
      <c r="Z25" s="114">
        <v>8.3000000000000007</v>
      </c>
      <c r="AA25" s="326"/>
    </row>
    <row r="26" spans="1:27" ht="18.75" customHeight="1">
      <c r="A26" s="124">
        <v>18</v>
      </c>
      <c r="B26" s="131" t="s">
        <v>157</v>
      </c>
      <c r="C26" s="178" t="s">
        <v>40</v>
      </c>
      <c r="D26" s="182" t="s">
        <v>56</v>
      </c>
      <c r="E26" s="35">
        <v>32</v>
      </c>
      <c r="F26" s="53">
        <v>7</v>
      </c>
      <c r="G26" s="43">
        <f>38/32</f>
        <v>1.1875</v>
      </c>
      <c r="H26" s="9">
        <f>61/32</f>
        <v>1.90625</v>
      </c>
      <c r="I26" s="63">
        <v>62.3</v>
      </c>
      <c r="J26" s="43">
        <f>43/32</f>
        <v>1.34375</v>
      </c>
      <c r="K26" s="9">
        <f>135/32</f>
        <v>4.21875</v>
      </c>
      <c r="L26" s="60">
        <v>31.9</v>
      </c>
      <c r="M26" s="43">
        <f>20/32</f>
        <v>0.625</v>
      </c>
      <c r="N26" s="9">
        <f>33/32</f>
        <v>1.03125</v>
      </c>
      <c r="O26" s="63">
        <v>60.6</v>
      </c>
      <c r="P26" s="43">
        <v>3</v>
      </c>
      <c r="Q26" s="8">
        <v>0.7</v>
      </c>
      <c r="R26" s="70">
        <v>3.7</v>
      </c>
      <c r="S26" s="119">
        <v>1.2</v>
      </c>
      <c r="T26" s="89">
        <v>0.1</v>
      </c>
      <c r="U26" s="73">
        <v>0.9</v>
      </c>
      <c r="V26" s="109">
        <v>0.6</v>
      </c>
      <c r="W26" s="73">
        <v>1.8</v>
      </c>
      <c r="X26" s="105" t="s">
        <v>30</v>
      </c>
      <c r="Y26" s="119" t="s">
        <v>105</v>
      </c>
      <c r="Z26" s="113">
        <v>6.9</v>
      </c>
      <c r="AA26" s="326"/>
    </row>
    <row r="27" spans="1:27" ht="18.75" customHeight="1">
      <c r="A27" s="125">
        <v>19</v>
      </c>
      <c r="B27" s="132" t="s">
        <v>158</v>
      </c>
      <c r="C27" s="139" t="s">
        <v>116</v>
      </c>
      <c r="D27" s="181" t="s">
        <v>89</v>
      </c>
      <c r="E27" s="36">
        <v>28</v>
      </c>
      <c r="F27" s="52">
        <v>6.6</v>
      </c>
      <c r="G27" s="44">
        <f>50/28</f>
        <v>1.7857142857142858</v>
      </c>
      <c r="H27" s="2">
        <f>93/28</f>
        <v>3.3214285714285716</v>
      </c>
      <c r="I27" s="61">
        <v>53.8</v>
      </c>
      <c r="J27" s="44">
        <f>11/28</f>
        <v>0.39285714285714285</v>
      </c>
      <c r="K27" s="2">
        <f>55/28</f>
        <v>1.9642857142857142</v>
      </c>
      <c r="L27" s="61">
        <v>20</v>
      </c>
      <c r="M27" s="44">
        <f>53/28</f>
        <v>1.8928571428571428</v>
      </c>
      <c r="N27" s="2">
        <f>77/28</f>
        <v>2.75</v>
      </c>
      <c r="O27" s="61">
        <v>68.8</v>
      </c>
      <c r="P27" s="71">
        <v>2.1</v>
      </c>
      <c r="Q27" s="2">
        <v>1</v>
      </c>
      <c r="R27" s="72">
        <v>3.1</v>
      </c>
      <c r="S27" s="161">
        <v>1</v>
      </c>
      <c r="T27" s="90">
        <v>0.3</v>
      </c>
      <c r="U27" s="44">
        <v>1.3</v>
      </c>
      <c r="V27" s="110">
        <v>0.8</v>
      </c>
      <c r="W27" s="71">
        <v>1.7</v>
      </c>
      <c r="X27" s="106" t="s">
        <v>30</v>
      </c>
      <c r="Y27" s="120" t="s">
        <v>103</v>
      </c>
      <c r="Z27" s="114">
        <v>6</v>
      </c>
      <c r="AA27" s="326"/>
    </row>
    <row r="28" spans="1:27" ht="18.75" customHeight="1">
      <c r="A28" s="126">
        <v>20</v>
      </c>
      <c r="B28" s="138" t="s">
        <v>159</v>
      </c>
      <c r="C28" s="179" t="s">
        <v>40</v>
      </c>
      <c r="D28" s="183" t="s">
        <v>53</v>
      </c>
      <c r="E28" s="180">
        <v>20</v>
      </c>
      <c r="F28" s="50">
        <v>5.6</v>
      </c>
      <c r="G28" s="184">
        <f>19/20</f>
        <v>0.95</v>
      </c>
      <c r="H28" s="185">
        <f>27/20</f>
        <v>1.35</v>
      </c>
      <c r="I28" s="187">
        <v>70.400000000000006</v>
      </c>
      <c r="J28" s="184">
        <f>22/20</f>
        <v>1.1000000000000001</v>
      </c>
      <c r="K28" s="185">
        <f>65/20</f>
        <v>3.25</v>
      </c>
      <c r="L28" s="189">
        <v>33.799999999999997</v>
      </c>
      <c r="M28" s="184">
        <f>8/20</f>
        <v>0.4</v>
      </c>
      <c r="N28" s="185">
        <v>1</v>
      </c>
      <c r="O28" s="193">
        <v>40</v>
      </c>
      <c r="P28" s="184">
        <v>2</v>
      </c>
      <c r="Q28" s="190">
        <v>0.3</v>
      </c>
      <c r="R28" s="191">
        <v>2.2000000000000002</v>
      </c>
      <c r="S28" s="197">
        <v>0.8</v>
      </c>
      <c r="T28" s="200">
        <v>0</v>
      </c>
      <c r="U28" s="198">
        <v>0.3</v>
      </c>
      <c r="V28" s="197">
        <v>0.5</v>
      </c>
      <c r="W28" s="198">
        <v>1.4</v>
      </c>
      <c r="X28" s="201" t="s">
        <v>30</v>
      </c>
      <c r="Y28" s="119" t="s">
        <v>160</v>
      </c>
      <c r="Z28" s="202">
        <v>4.9000000000000004</v>
      </c>
      <c r="AA28" s="326"/>
    </row>
    <row r="29" spans="1:27" ht="18.75" customHeight="1">
      <c r="A29" s="316"/>
      <c r="B29" s="317"/>
      <c r="C29" s="317"/>
      <c r="D29" s="317"/>
      <c r="E29" s="317"/>
      <c r="F29" s="317"/>
      <c r="G29" s="317"/>
      <c r="H29" s="317"/>
      <c r="I29" s="317"/>
      <c r="J29" s="317"/>
      <c r="K29" s="317"/>
      <c r="L29" s="317"/>
      <c r="M29" s="317"/>
      <c r="N29" s="317"/>
      <c r="O29" s="317"/>
      <c r="P29" s="317"/>
      <c r="Q29" s="317"/>
      <c r="R29" s="317"/>
      <c r="S29" s="317"/>
      <c r="T29" s="317"/>
      <c r="U29" s="317"/>
      <c r="V29" s="317"/>
      <c r="W29" s="317"/>
      <c r="X29" s="317"/>
      <c r="Y29" s="317"/>
      <c r="Z29" s="317"/>
      <c r="AA29" s="318"/>
    </row>
    <row r="30" spans="1:27" ht="18.75" customHeight="1"/>
  </sheetData>
  <mergeCells count="29">
    <mergeCell ref="AA1:AA28"/>
    <mergeCell ref="A29:AA29"/>
    <mergeCell ref="Z23:Z24"/>
    <mergeCell ref="A20:A21"/>
    <mergeCell ref="A23:A24"/>
    <mergeCell ref="B20:B21"/>
    <mergeCell ref="C20:C21"/>
    <mergeCell ref="F20:F21"/>
    <mergeCell ref="Z20:Z21"/>
    <mergeCell ref="S5:S6"/>
    <mergeCell ref="T5:T6"/>
    <mergeCell ref="U5:V5"/>
    <mergeCell ref="B23:B24"/>
    <mergeCell ref="C23:C24"/>
    <mergeCell ref="F23:F24"/>
    <mergeCell ref="W5:X5"/>
    <mergeCell ref="A1:Z3"/>
    <mergeCell ref="A4:Z4"/>
    <mergeCell ref="C5:C6"/>
    <mergeCell ref="D5:D6"/>
    <mergeCell ref="E5:E6"/>
    <mergeCell ref="F5:F6"/>
    <mergeCell ref="G5:I5"/>
    <mergeCell ref="J5:L5"/>
    <mergeCell ref="Y5:Y6"/>
    <mergeCell ref="Z5:Z6"/>
    <mergeCell ref="M5:O5"/>
    <mergeCell ref="P5:R5"/>
    <mergeCell ref="A5:B6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8F0A6-2C37-4461-B614-327974771110}">
  <dimension ref="A1:AA29"/>
  <sheetViews>
    <sheetView zoomScale="106" zoomScaleNormal="106" workbookViewId="0">
      <selection sqref="A1:Z3"/>
    </sheetView>
  </sheetViews>
  <sheetFormatPr defaultColWidth="9.140625" defaultRowHeight="15"/>
  <cols>
    <col min="1" max="1" width="3.7109375" customWidth="1"/>
    <col min="2" max="2" width="23" customWidth="1"/>
    <col min="3" max="3" width="6" customWidth="1"/>
    <col min="4" max="4" width="14.42578125" customWidth="1"/>
    <col min="5" max="5" width="5.7109375" customWidth="1"/>
    <col min="6" max="6" width="6.140625" customWidth="1"/>
    <col min="7" max="8" width="4.7109375" customWidth="1"/>
    <col min="9" max="9" width="5.7109375" customWidth="1"/>
    <col min="10" max="11" width="4.7109375" customWidth="1"/>
    <col min="12" max="12" width="5.7109375" customWidth="1"/>
    <col min="13" max="14" width="4.7109375" customWidth="1"/>
    <col min="15" max="15" width="5.7109375" customWidth="1"/>
    <col min="16" max="19" width="4.7109375" customWidth="1"/>
    <col min="20" max="20" width="5.7109375" customWidth="1"/>
    <col min="21" max="23" width="4.7109375" customWidth="1"/>
    <col min="24" max="25" width="5.7109375" customWidth="1"/>
    <col min="26" max="26" width="6.140625" customWidth="1"/>
    <col min="27" max="27" width="4.7109375" customWidth="1"/>
    <col min="28" max="255" width="11.42578125" customWidth="1"/>
  </cols>
  <sheetData>
    <row r="1" spans="1:27" ht="12" customHeight="1">
      <c r="A1" s="289" t="s">
        <v>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325"/>
    </row>
    <row r="2" spans="1:27" ht="12" customHeight="1">
      <c r="A2" s="291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326"/>
    </row>
    <row r="3" spans="1:27" ht="12" customHeight="1">
      <c r="A3" s="291"/>
      <c r="B3" s="292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326"/>
    </row>
    <row r="4" spans="1:27" ht="24" customHeight="1">
      <c r="A4" s="327" t="s">
        <v>161</v>
      </c>
      <c r="B4" s="328"/>
      <c r="C4" s="328"/>
      <c r="D4" s="328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326"/>
    </row>
    <row r="5" spans="1:27" ht="15.75" customHeight="1">
      <c r="A5" s="312" t="s">
        <v>2</v>
      </c>
      <c r="B5" s="313"/>
      <c r="C5" s="310" t="s">
        <v>3</v>
      </c>
      <c r="D5" s="329" t="s">
        <v>4</v>
      </c>
      <c r="E5" s="310" t="s">
        <v>5</v>
      </c>
      <c r="F5" s="344" t="s">
        <v>6</v>
      </c>
      <c r="G5" s="301" t="s">
        <v>7</v>
      </c>
      <c r="H5" s="302"/>
      <c r="I5" s="303"/>
      <c r="J5" s="301" t="s">
        <v>8</v>
      </c>
      <c r="K5" s="302"/>
      <c r="L5" s="303"/>
      <c r="M5" s="301" t="s">
        <v>9</v>
      </c>
      <c r="N5" s="302"/>
      <c r="O5" s="303"/>
      <c r="P5" s="295" t="s">
        <v>10</v>
      </c>
      <c r="Q5" s="304"/>
      <c r="R5" s="296"/>
      <c r="S5" s="310" t="s">
        <v>11</v>
      </c>
      <c r="T5" s="344" t="s">
        <v>12</v>
      </c>
      <c r="U5" s="301" t="s">
        <v>13</v>
      </c>
      <c r="V5" s="303"/>
      <c r="W5" s="295" t="s">
        <v>14</v>
      </c>
      <c r="X5" s="296"/>
      <c r="Y5" s="297" t="s">
        <v>15</v>
      </c>
      <c r="Z5" s="299" t="s">
        <v>16</v>
      </c>
      <c r="AA5" s="326"/>
    </row>
    <row r="6" spans="1:27" ht="18" customHeight="1">
      <c r="A6" s="314"/>
      <c r="B6" s="315"/>
      <c r="C6" s="311"/>
      <c r="D6" s="330"/>
      <c r="E6" s="311"/>
      <c r="F6" s="345"/>
      <c r="G6" s="17" t="s">
        <v>17</v>
      </c>
      <c r="H6" s="18" t="s">
        <v>18</v>
      </c>
      <c r="I6" s="21" t="s">
        <v>19</v>
      </c>
      <c r="J6" s="17" t="s">
        <v>17</v>
      </c>
      <c r="K6" s="18" t="s">
        <v>18</v>
      </c>
      <c r="L6" s="21" t="s">
        <v>19</v>
      </c>
      <c r="M6" s="17" t="s">
        <v>17</v>
      </c>
      <c r="N6" s="18" t="s">
        <v>18</v>
      </c>
      <c r="O6" s="21" t="s">
        <v>19</v>
      </c>
      <c r="P6" s="68" t="s">
        <v>20</v>
      </c>
      <c r="Q6" s="22" t="s">
        <v>21</v>
      </c>
      <c r="R6" s="69" t="s">
        <v>22</v>
      </c>
      <c r="S6" s="311"/>
      <c r="T6" s="345"/>
      <c r="U6" s="17" t="s">
        <v>23</v>
      </c>
      <c r="V6" s="21" t="s">
        <v>24</v>
      </c>
      <c r="W6" s="68" t="s">
        <v>25</v>
      </c>
      <c r="X6" s="69" t="s">
        <v>26</v>
      </c>
      <c r="Y6" s="298"/>
      <c r="Z6" s="300"/>
      <c r="AA6" s="326"/>
    </row>
    <row r="7" spans="1:27" ht="18.75" customHeight="1">
      <c r="A7" s="28">
        <v>1</v>
      </c>
      <c r="B7" s="132" t="s">
        <v>162</v>
      </c>
      <c r="C7" s="139" t="s">
        <v>28</v>
      </c>
      <c r="D7" s="127" t="s">
        <v>147</v>
      </c>
      <c r="E7" s="120">
        <v>12</v>
      </c>
      <c r="F7" s="207">
        <v>18.899999999999999</v>
      </c>
      <c r="G7" s="44">
        <f>70/12</f>
        <v>5.833333333333333</v>
      </c>
      <c r="H7" s="2">
        <f>124/12</f>
        <v>10.333333333333334</v>
      </c>
      <c r="I7" s="61">
        <v>56.5</v>
      </c>
      <c r="J7" s="44">
        <f>13/12</f>
        <v>1.0833333333333333</v>
      </c>
      <c r="K7" s="2">
        <f>31/12</f>
        <v>2.5833333333333335</v>
      </c>
      <c r="L7" s="61">
        <v>41.9</v>
      </c>
      <c r="M7" s="44">
        <f>48/12</f>
        <v>4</v>
      </c>
      <c r="N7" s="2">
        <f>78/12</f>
        <v>6.5</v>
      </c>
      <c r="O7" s="62">
        <v>70.599999999999994</v>
      </c>
      <c r="P7" s="44">
        <v>7.8</v>
      </c>
      <c r="Q7" s="1">
        <v>2.1</v>
      </c>
      <c r="R7" s="72">
        <v>9.8000000000000007</v>
      </c>
      <c r="S7" s="120">
        <v>2.2999999999999998</v>
      </c>
      <c r="T7" s="90">
        <v>0.5</v>
      </c>
      <c r="U7" s="44">
        <v>3.2</v>
      </c>
      <c r="V7" s="156">
        <v>1.3</v>
      </c>
      <c r="W7" s="44">
        <v>3.3</v>
      </c>
      <c r="X7" s="106" t="s">
        <v>30</v>
      </c>
      <c r="Y7" s="120" t="s">
        <v>163</v>
      </c>
      <c r="Z7" s="114">
        <v>23.2</v>
      </c>
      <c r="AA7" s="326"/>
    </row>
    <row r="8" spans="1:27" ht="18.75" customHeight="1">
      <c r="A8" s="29">
        <v>2</v>
      </c>
      <c r="B8" s="131" t="s">
        <v>164</v>
      </c>
      <c r="C8" s="140" t="s">
        <v>28</v>
      </c>
      <c r="D8" s="128" t="s">
        <v>53</v>
      </c>
      <c r="E8" s="123">
        <v>18</v>
      </c>
      <c r="F8" s="208">
        <v>13.7</v>
      </c>
      <c r="G8" s="142">
        <f>97/18</f>
        <v>5.3888888888888893</v>
      </c>
      <c r="H8" s="13">
        <f>159/18</f>
        <v>8.8333333333333339</v>
      </c>
      <c r="I8" s="149">
        <v>61</v>
      </c>
      <c r="J8" s="211">
        <v>0</v>
      </c>
      <c r="K8" s="13">
        <f>5/18</f>
        <v>0.27777777777777779</v>
      </c>
      <c r="L8" s="212">
        <v>0</v>
      </c>
      <c r="M8" s="142">
        <f>52/18</f>
        <v>2.8888888888888888</v>
      </c>
      <c r="N8" s="13">
        <f>90/18</f>
        <v>5</v>
      </c>
      <c r="O8" s="149">
        <v>57.8</v>
      </c>
      <c r="P8" s="142">
        <v>4.9000000000000004</v>
      </c>
      <c r="Q8" s="12">
        <v>3.9</v>
      </c>
      <c r="R8" s="151">
        <v>8.8000000000000007</v>
      </c>
      <c r="S8" s="123">
        <v>2.1</v>
      </c>
      <c r="T8" s="213">
        <v>1.2</v>
      </c>
      <c r="U8" s="152">
        <v>1.6</v>
      </c>
      <c r="V8" s="158">
        <v>1.4</v>
      </c>
      <c r="W8" s="142">
        <v>2</v>
      </c>
      <c r="X8" s="162" t="s">
        <v>30</v>
      </c>
      <c r="Y8" s="123" t="s">
        <v>165</v>
      </c>
      <c r="Z8" s="146">
        <v>21.7</v>
      </c>
      <c r="AA8" s="326"/>
    </row>
    <row r="9" spans="1:27" ht="18.75" customHeight="1">
      <c r="A9" s="28">
        <v>3</v>
      </c>
      <c r="B9" s="132" t="s">
        <v>166</v>
      </c>
      <c r="C9" s="139" t="s">
        <v>28</v>
      </c>
      <c r="D9" s="127" t="s">
        <v>69</v>
      </c>
      <c r="E9" s="120">
        <v>24</v>
      </c>
      <c r="F9" s="209">
        <v>17.600000000000001</v>
      </c>
      <c r="G9" s="44">
        <f>118/24</f>
        <v>4.916666666666667</v>
      </c>
      <c r="H9" s="2">
        <f>204/24</f>
        <v>8.5</v>
      </c>
      <c r="I9" s="62">
        <v>57.8</v>
      </c>
      <c r="J9" s="44">
        <f>34/24</f>
        <v>1.4166666666666667</v>
      </c>
      <c r="K9" s="2">
        <f>84/24</f>
        <v>3.5</v>
      </c>
      <c r="L9" s="61">
        <v>40.5</v>
      </c>
      <c r="M9" s="44">
        <f>85/24</f>
        <v>3.5416666666666665</v>
      </c>
      <c r="N9" s="2">
        <f>103/24</f>
        <v>4.291666666666667</v>
      </c>
      <c r="O9" s="62">
        <v>82.5</v>
      </c>
      <c r="P9" s="71">
        <v>5.0999999999999996</v>
      </c>
      <c r="Q9" s="1">
        <v>1.5</v>
      </c>
      <c r="R9" s="72">
        <v>6.6</v>
      </c>
      <c r="S9" s="161">
        <v>2</v>
      </c>
      <c r="T9" s="90">
        <v>0.5</v>
      </c>
      <c r="U9" s="71">
        <v>2.7</v>
      </c>
      <c r="V9" s="156">
        <v>1</v>
      </c>
      <c r="W9" s="71">
        <v>2.6</v>
      </c>
      <c r="X9" s="106" t="s">
        <v>30</v>
      </c>
      <c r="Y9" s="120" t="s">
        <v>167</v>
      </c>
      <c r="Z9" s="115">
        <v>19.600000000000001</v>
      </c>
      <c r="AA9" s="326"/>
    </row>
    <row r="10" spans="1:27" ht="18.75" customHeight="1">
      <c r="A10" s="29">
        <v>4</v>
      </c>
      <c r="B10" s="131" t="s">
        <v>168</v>
      </c>
      <c r="C10" s="140" t="s">
        <v>40</v>
      </c>
      <c r="D10" s="128" t="s">
        <v>53</v>
      </c>
      <c r="E10" s="123">
        <v>12</v>
      </c>
      <c r="F10" s="208">
        <v>15.9</v>
      </c>
      <c r="G10" s="142">
        <f>57/12</f>
        <v>4.75</v>
      </c>
      <c r="H10" s="13">
        <f>114/12</f>
        <v>9.5</v>
      </c>
      <c r="I10" s="149">
        <v>50</v>
      </c>
      <c r="J10" s="142">
        <f>11/12</f>
        <v>0.91666666666666663</v>
      </c>
      <c r="K10" s="13">
        <f>26/12</f>
        <v>2.1666666666666665</v>
      </c>
      <c r="L10" s="149">
        <v>42.3</v>
      </c>
      <c r="M10" s="142">
        <f>44/12</f>
        <v>3.6666666666666665</v>
      </c>
      <c r="N10" s="13">
        <f>60/12</f>
        <v>5</v>
      </c>
      <c r="O10" s="149">
        <v>73.3</v>
      </c>
      <c r="P10" s="152">
        <v>5.8</v>
      </c>
      <c r="Q10" s="12">
        <v>2.2000000000000002</v>
      </c>
      <c r="R10" s="151">
        <v>7.9</v>
      </c>
      <c r="S10" s="123">
        <v>1.4</v>
      </c>
      <c r="T10" s="214">
        <v>1</v>
      </c>
      <c r="U10" s="142">
        <v>2.2000000000000002</v>
      </c>
      <c r="V10" s="158">
        <v>1.3</v>
      </c>
      <c r="W10" s="152">
        <v>3.1</v>
      </c>
      <c r="X10" s="162" t="s">
        <v>30</v>
      </c>
      <c r="Y10" s="123" t="s">
        <v>75</v>
      </c>
      <c r="Z10" s="147">
        <v>19</v>
      </c>
      <c r="AA10" s="326"/>
    </row>
    <row r="11" spans="1:27" ht="18.75" customHeight="1">
      <c r="A11" s="28">
        <v>5</v>
      </c>
      <c r="B11" s="132" t="s">
        <v>169</v>
      </c>
      <c r="C11" s="139" t="s">
        <v>28</v>
      </c>
      <c r="D11" s="127" t="s">
        <v>81</v>
      </c>
      <c r="E11" s="120">
        <v>12</v>
      </c>
      <c r="F11" s="207">
        <v>11.9</v>
      </c>
      <c r="G11" s="44">
        <f>57/12</f>
        <v>4.75</v>
      </c>
      <c r="H11" s="2">
        <f>104/12</f>
        <v>8.6666666666666661</v>
      </c>
      <c r="I11" s="62">
        <v>54.8</v>
      </c>
      <c r="J11" s="44">
        <f>1/12</f>
        <v>8.3333333333333329E-2</v>
      </c>
      <c r="K11" s="2">
        <v>0.1</v>
      </c>
      <c r="L11" s="188">
        <v>100</v>
      </c>
      <c r="M11" s="44">
        <f>26/12</f>
        <v>2.1666666666666665</v>
      </c>
      <c r="N11" s="2">
        <f>50/12</f>
        <v>4.166666666666667</v>
      </c>
      <c r="O11" s="61">
        <v>52</v>
      </c>
      <c r="P11" s="71">
        <v>7.2</v>
      </c>
      <c r="Q11" s="4">
        <v>4.7</v>
      </c>
      <c r="R11" s="72">
        <v>11.8</v>
      </c>
      <c r="S11" s="120">
        <v>1.3</v>
      </c>
      <c r="T11" s="215">
        <v>0.2</v>
      </c>
      <c r="U11" s="71">
        <v>1.8</v>
      </c>
      <c r="V11" s="110">
        <v>0.8</v>
      </c>
      <c r="W11" s="71">
        <v>2.1</v>
      </c>
      <c r="X11" s="106" t="s">
        <v>30</v>
      </c>
      <c r="Y11" s="120" t="s">
        <v>127</v>
      </c>
      <c r="Z11" s="114">
        <v>18.8</v>
      </c>
      <c r="AA11" s="326"/>
    </row>
    <row r="12" spans="1:27" ht="18.75" customHeight="1">
      <c r="A12" s="29">
        <v>6</v>
      </c>
      <c r="B12" s="131" t="s">
        <v>170</v>
      </c>
      <c r="C12" s="140" t="s">
        <v>28</v>
      </c>
      <c r="D12" s="128" t="s">
        <v>59</v>
      </c>
      <c r="E12" s="123">
        <v>21</v>
      </c>
      <c r="F12" s="210">
        <v>16</v>
      </c>
      <c r="G12" s="142">
        <f>92/21</f>
        <v>4.3809523809523814</v>
      </c>
      <c r="H12" s="13">
        <f>175/21</f>
        <v>8.3333333333333339</v>
      </c>
      <c r="I12" s="150">
        <v>52.6</v>
      </c>
      <c r="J12" s="142">
        <f>20/21</f>
        <v>0.95238095238095233</v>
      </c>
      <c r="K12" s="13">
        <f>70/21</f>
        <v>3.3333333333333335</v>
      </c>
      <c r="L12" s="149">
        <v>28.6</v>
      </c>
      <c r="M12" s="142">
        <f>91/21</f>
        <v>4.333333333333333</v>
      </c>
      <c r="N12" s="13">
        <f>117/21</f>
        <v>5.5714285714285712</v>
      </c>
      <c r="O12" s="149">
        <v>77.8</v>
      </c>
      <c r="P12" s="152">
        <v>3.9</v>
      </c>
      <c r="Q12" s="13">
        <v>1.9</v>
      </c>
      <c r="R12" s="151">
        <v>5.7</v>
      </c>
      <c r="S12" s="160">
        <v>2</v>
      </c>
      <c r="T12" s="213">
        <v>0.7</v>
      </c>
      <c r="U12" s="152">
        <v>1.9</v>
      </c>
      <c r="V12" s="158">
        <v>0.6</v>
      </c>
      <c r="W12" s="142">
        <v>2.8</v>
      </c>
      <c r="X12" s="162" t="s">
        <v>30</v>
      </c>
      <c r="Y12" s="123">
        <v>25.8</v>
      </c>
      <c r="Z12" s="147">
        <v>18</v>
      </c>
      <c r="AA12" s="326"/>
    </row>
    <row r="13" spans="1:27" ht="18.75" customHeight="1">
      <c r="A13" s="28">
        <v>7</v>
      </c>
      <c r="B13" s="132" t="s">
        <v>171</v>
      </c>
      <c r="C13" s="139" t="s">
        <v>40</v>
      </c>
      <c r="D13" s="127" t="s">
        <v>35</v>
      </c>
      <c r="E13" s="120">
        <v>22</v>
      </c>
      <c r="F13" s="207">
        <v>12.7</v>
      </c>
      <c r="G13" s="44">
        <f>69/22</f>
        <v>3.1363636363636362</v>
      </c>
      <c r="H13" s="2">
        <f>136/22</f>
        <v>6.1818181818181817</v>
      </c>
      <c r="I13" s="61">
        <v>50.7</v>
      </c>
      <c r="J13" s="44">
        <f>30/22</f>
        <v>1.3636363636363635</v>
      </c>
      <c r="K13" s="2">
        <f>110/22</f>
        <v>5</v>
      </c>
      <c r="L13" s="188">
        <v>27.3</v>
      </c>
      <c r="M13" s="44">
        <f>52/22</f>
        <v>2.3636363636363638</v>
      </c>
      <c r="N13" s="2">
        <f>66/22</f>
        <v>3</v>
      </c>
      <c r="O13" s="62">
        <v>78.8</v>
      </c>
      <c r="P13" s="44">
        <v>7</v>
      </c>
      <c r="Q13" s="1">
        <v>0.7</v>
      </c>
      <c r="R13" s="72">
        <v>7.7</v>
      </c>
      <c r="S13" s="120">
        <v>4.2</v>
      </c>
      <c r="T13" s="90">
        <v>0.5</v>
      </c>
      <c r="U13" s="44">
        <v>2.6</v>
      </c>
      <c r="V13" s="156">
        <v>1.1000000000000001</v>
      </c>
      <c r="W13" s="44">
        <v>2.7</v>
      </c>
      <c r="X13" s="106" t="s">
        <v>30</v>
      </c>
      <c r="Y13" s="120" t="s">
        <v>36</v>
      </c>
      <c r="Z13" s="114">
        <v>16.2</v>
      </c>
      <c r="AA13" s="326"/>
    </row>
    <row r="14" spans="1:27" ht="18.75" customHeight="1">
      <c r="A14" s="29">
        <v>8</v>
      </c>
      <c r="B14" s="131" t="s">
        <v>172</v>
      </c>
      <c r="C14" s="140" t="s">
        <v>28</v>
      </c>
      <c r="D14" s="128" t="s">
        <v>53</v>
      </c>
      <c r="E14" s="123">
        <v>11</v>
      </c>
      <c r="F14" s="210">
        <v>13</v>
      </c>
      <c r="G14" s="142">
        <f>39/11</f>
        <v>3.5454545454545454</v>
      </c>
      <c r="H14" s="13">
        <f>64/11</f>
        <v>5.8181818181818183</v>
      </c>
      <c r="I14" s="150">
        <v>60.9</v>
      </c>
      <c r="J14" s="142">
        <f>11/11</f>
        <v>1</v>
      </c>
      <c r="K14" s="13">
        <f>35/11</f>
        <v>3.1818181818181817</v>
      </c>
      <c r="L14" s="149">
        <v>31.4</v>
      </c>
      <c r="M14" s="142">
        <f>32/11</f>
        <v>2.9090909090909092</v>
      </c>
      <c r="N14" s="13">
        <f>36/11</f>
        <v>3.2727272727272729</v>
      </c>
      <c r="O14" s="149">
        <v>88.9</v>
      </c>
      <c r="P14" s="152">
        <v>5.3</v>
      </c>
      <c r="Q14" s="12">
        <v>0.3</v>
      </c>
      <c r="R14" s="151">
        <v>5.5</v>
      </c>
      <c r="S14" s="160">
        <v>1</v>
      </c>
      <c r="T14" s="213">
        <v>0.2</v>
      </c>
      <c r="U14" s="152">
        <v>2.2999999999999998</v>
      </c>
      <c r="V14" s="158">
        <v>0.8</v>
      </c>
      <c r="W14" s="152">
        <v>2.2000000000000002</v>
      </c>
      <c r="X14" s="162" t="s">
        <v>30</v>
      </c>
      <c r="Y14" s="123" t="s">
        <v>173</v>
      </c>
      <c r="Z14" s="146">
        <v>14.3</v>
      </c>
      <c r="AA14" s="326"/>
    </row>
    <row r="15" spans="1:27" ht="18.75" customHeight="1">
      <c r="A15" s="28">
        <v>9</v>
      </c>
      <c r="B15" s="132" t="s">
        <v>174</v>
      </c>
      <c r="C15" s="139" t="s">
        <v>40</v>
      </c>
      <c r="D15" s="127" t="s">
        <v>50</v>
      </c>
      <c r="E15" s="120">
        <v>38</v>
      </c>
      <c r="F15" s="209">
        <v>9.6</v>
      </c>
      <c r="G15" s="44">
        <f>71/38</f>
        <v>1.868421052631579</v>
      </c>
      <c r="H15" s="2">
        <f>129/38</f>
        <v>3.3947368421052633</v>
      </c>
      <c r="I15" s="62">
        <v>59.2</v>
      </c>
      <c r="J15" s="44">
        <f>59/38</f>
        <v>1.5526315789473684</v>
      </c>
      <c r="K15" s="2">
        <f>165/38</f>
        <v>4.3421052631578947</v>
      </c>
      <c r="L15" s="62">
        <v>35.799999999999997</v>
      </c>
      <c r="M15" s="44">
        <f>44/38</f>
        <v>1.1578947368421053</v>
      </c>
      <c r="N15" s="2">
        <f>75/38</f>
        <v>1.9736842105263157</v>
      </c>
      <c r="O15" s="62">
        <v>58.7</v>
      </c>
      <c r="P15" s="71">
        <v>5.9</v>
      </c>
      <c r="Q15" s="1">
        <v>1.2</v>
      </c>
      <c r="R15" s="72">
        <v>7</v>
      </c>
      <c r="S15" s="120">
        <v>1.4</v>
      </c>
      <c r="T15" s="90">
        <v>0.8</v>
      </c>
      <c r="U15" s="71">
        <v>0.6</v>
      </c>
      <c r="V15" s="156">
        <v>1</v>
      </c>
      <c r="W15" s="71">
        <v>2.1</v>
      </c>
      <c r="X15" s="106" t="s">
        <v>30</v>
      </c>
      <c r="Y15" s="204" t="s">
        <v>175</v>
      </c>
      <c r="Z15" s="115">
        <v>13.9</v>
      </c>
      <c r="AA15" s="326"/>
    </row>
    <row r="16" spans="1:27" ht="18.75" customHeight="1">
      <c r="A16" s="29">
        <v>10</v>
      </c>
      <c r="B16" s="131" t="s">
        <v>176</v>
      </c>
      <c r="C16" s="140" t="s">
        <v>28</v>
      </c>
      <c r="D16" s="128" t="s">
        <v>92</v>
      </c>
      <c r="E16" s="123">
        <v>11</v>
      </c>
      <c r="F16" s="208">
        <v>12.9</v>
      </c>
      <c r="G16" s="142">
        <f>36/11</f>
        <v>3.2727272727272729</v>
      </c>
      <c r="H16" s="13">
        <f>73/11</f>
        <v>6.6363636363636367</v>
      </c>
      <c r="I16" s="150">
        <v>49.3</v>
      </c>
      <c r="J16" s="142">
        <f>15/11</f>
        <v>1.3636363636363635</v>
      </c>
      <c r="K16" s="13">
        <f>44/11</f>
        <v>4</v>
      </c>
      <c r="L16" s="149">
        <v>34.1</v>
      </c>
      <c r="M16" s="142">
        <f>25/11</f>
        <v>2.2727272727272729</v>
      </c>
      <c r="N16" s="13">
        <f>42/11</f>
        <v>3.8181818181818183</v>
      </c>
      <c r="O16" s="149">
        <v>59.5</v>
      </c>
      <c r="P16" s="152">
        <v>4.7</v>
      </c>
      <c r="Q16" s="13">
        <v>1.3</v>
      </c>
      <c r="R16" s="151">
        <v>6</v>
      </c>
      <c r="S16" s="160">
        <v>0.6</v>
      </c>
      <c r="T16" s="213">
        <v>0.2</v>
      </c>
      <c r="U16" s="152">
        <v>2.1</v>
      </c>
      <c r="V16" s="157">
        <v>0.9</v>
      </c>
      <c r="W16" s="152">
        <v>1.6</v>
      </c>
      <c r="X16" s="162" t="s">
        <v>30</v>
      </c>
      <c r="Y16" s="123" t="s">
        <v>108</v>
      </c>
      <c r="Z16" s="147">
        <v>12.5</v>
      </c>
      <c r="AA16" s="326"/>
    </row>
    <row r="17" spans="1:27" ht="18.75" customHeight="1">
      <c r="A17" s="28">
        <v>11</v>
      </c>
      <c r="B17" s="132" t="s">
        <v>177</v>
      </c>
      <c r="C17" s="139" t="s">
        <v>40</v>
      </c>
      <c r="D17" s="127" t="s">
        <v>56</v>
      </c>
      <c r="E17" s="120">
        <v>25</v>
      </c>
      <c r="F17" s="209">
        <v>10.199999999999999</v>
      </c>
      <c r="G17" s="44">
        <f>58/25</f>
        <v>2.3199999999999998</v>
      </c>
      <c r="H17" s="2">
        <f>85/25</f>
        <v>3.4</v>
      </c>
      <c r="I17" s="62">
        <v>68.2</v>
      </c>
      <c r="J17" s="44">
        <f>32/25</f>
        <v>1.28</v>
      </c>
      <c r="K17" s="2">
        <f>84/25</f>
        <v>3.36</v>
      </c>
      <c r="L17" s="61">
        <v>38.1</v>
      </c>
      <c r="M17" s="44">
        <f>42/25</f>
        <v>1.68</v>
      </c>
      <c r="N17" s="2">
        <f>75/25</f>
        <v>3</v>
      </c>
      <c r="O17" s="61">
        <v>56</v>
      </c>
      <c r="P17" s="71">
        <v>4.2</v>
      </c>
      <c r="Q17" s="1">
        <v>1.8</v>
      </c>
      <c r="R17" s="72">
        <v>6</v>
      </c>
      <c r="S17" s="120">
        <v>1.2</v>
      </c>
      <c r="T17" s="90">
        <v>0.1</v>
      </c>
      <c r="U17" s="71">
        <v>1.4</v>
      </c>
      <c r="V17" s="110">
        <v>0.7</v>
      </c>
      <c r="W17" s="71">
        <v>2.2999999999999998</v>
      </c>
      <c r="X17" s="106" t="s">
        <v>30</v>
      </c>
      <c r="Y17" s="120" t="s">
        <v>178</v>
      </c>
      <c r="Z17" s="115">
        <v>12.3</v>
      </c>
      <c r="AA17" s="326"/>
    </row>
    <row r="18" spans="1:27" ht="18.75" customHeight="1">
      <c r="A18" s="29">
        <v>12</v>
      </c>
      <c r="B18" s="131" t="s">
        <v>179</v>
      </c>
      <c r="C18" s="140" t="s">
        <v>28</v>
      </c>
      <c r="D18" s="128" t="s">
        <v>79</v>
      </c>
      <c r="E18" s="123">
        <v>18</v>
      </c>
      <c r="F18" s="210">
        <v>15.9</v>
      </c>
      <c r="G18" s="142">
        <f>65/18</f>
        <v>3.6111111111111112</v>
      </c>
      <c r="H18" s="13">
        <f>111/18</f>
        <v>6.166666666666667</v>
      </c>
      <c r="I18" s="150">
        <v>58.6</v>
      </c>
      <c r="J18" s="142">
        <f>38/18</f>
        <v>2.1111111111111112</v>
      </c>
      <c r="K18" s="13">
        <f>119/18</f>
        <v>6.6111111111111107</v>
      </c>
      <c r="L18" s="149">
        <v>31.9</v>
      </c>
      <c r="M18" s="142">
        <f>43/18</f>
        <v>2.3888888888888888</v>
      </c>
      <c r="N18" s="13">
        <f>58/18</f>
        <v>3.2222222222222223</v>
      </c>
      <c r="O18" s="149">
        <v>74.099999999999994</v>
      </c>
      <c r="P18" s="142">
        <v>4</v>
      </c>
      <c r="Q18" s="12">
        <v>0.7</v>
      </c>
      <c r="R18" s="151">
        <v>4.7</v>
      </c>
      <c r="S18" s="123">
        <v>1.4</v>
      </c>
      <c r="T18" s="214">
        <v>0.2</v>
      </c>
      <c r="U18" s="152">
        <v>2.6</v>
      </c>
      <c r="V18" s="157">
        <v>1</v>
      </c>
      <c r="W18" s="152">
        <v>2.9</v>
      </c>
      <c r="X18" s="162" t="s">
        <v>30</v>
      </c>
      <c r="Y18" s="123" t="s">
        <v>70</v>
      </c>
      <c r="Z18" s="147">
        <v>11.9</v>
      </c>
      <c r="AA18" s="326"/>
    </row>
    <row r="19" spans="1:27" ht="18.75" customHeight="1">
      <c r="A19" s="28">
        <v>13</v>
      </c>
      <c r="B19" s="132" t="s">
        <v>180</v>
      </c>
      <c r="C19" s="139" t="s">
        <v>28</v>
      </c>
      <c r="D19" s="127" t="s">
        <v>56</v>
      </c>
      <c r="E19" s="120">
        <v>15</v>
      </c>
      <c r="F19" s="209">
        <v>14.1</v>
      </c>
      <c r="G19" s="44">
        <f>44/15</f>
        <v>2.9333333333333331</v>
      </c>
      <c r="H19" s="2">
        <f>90/15</f>
        <v>6</v>
      </c>
      <c r="I19" s="62">
        <v>48.9</v>
      </c>
      <c r="J19" s="44">
        <f>27/15</f>
        <v>1.8</v>
      </c>
      <c r="K19" s="2">
        <f>87/15</f>
        <v>5.8</v>
      </c>
      <c r="L19" s="61">
        <v>31</v>
      </c>
      <c r="M19" s="44">
        <f>42/15</f>
        <v>2.8</v>
      </c>
      <c r="N19" s="2">
        <f>54/15</f>
        <v>3.6</v>
      </c>
      <c r="O19" s="61">
        <v>77.8</v>
      </c>
      <c r="P19" s="71">
        <v>3.2</v>
      </c>
      <c r="Q19" s="1">
        <v>0.9</v>
      </c>
      <c r="R19" s="72">
        <v>4.0999999999999996</v>
      </c>
      <c r="S19" s="120">
        <v>1.2</v>
      </c>
      <c r="T19" s="90">
        <v>0.1</v>
      </c>
      <c r="U19" s="71">
        <v>0.8</v>
      </c>
      <c r="V19" s="110">
        <v>0.5</v>
      </c>
      <c r="W19" s="71">
        <v>2.6</v>
      </c>
      <c r="X19" s="106" t="s">
        <v>30</v>
      </c>
      <c r="Y19" s="120" t="s">
        <v>181</v>
      </c>
      <c r="Z19" s="115">
        <v>11.5</v>
      </c>
      <c r="AA19" s="326"/>
    </row>
    <row r="20" spans="1:27" ht="18.75" customHeight="1">
      <c r="A20" s="29">
        <v>14</v>
      </c>
      <c r="B20" s="131" t="s">
        <v>182</v>
      </c>
      <c r="C20" s="140" t="s">
        <v>40</v>
      </c>
      <c r="D20" s="128" t="s">
        <v>33</v>
      </c>
      <c r="E20" s="123">
        <v>24</v>
      </c>
      <c r="F20" s="208">
        <v>7.4</v>
      </c>
      <c r="G20" s="142">
        <f>70/24</f>
        <v>2.9166666666666665</v>
      </c>
      <c r="H20" s="13">
        <f>121/24</f>
        <v>5.041666666666667</v>
      </c>
      <c r="I20" s="149">
        <v>57.9</v>
      </c>
      <c r="J20" s="211">
        <v>0</v>
      </c>
      <c r="K20" s="13">
        <f>4/24</f>
        <v>0.16666666666666666</v>
      </c>
      <c r="L20" s="212">
        <v>0</v>
      </c>
      <c r="M20" s="142">
        <f>37/24</f>
        <v>1.5416666666666667</v>
      </c>
      <c r="N20" s="13">
        <f>70/24</f>
        <v>2.9166666666666665</v>
      </c>
      <c r="O20" s="149">
        <v>52.9</v>
      </c>
      <c r="P20" s="152">
        <v>3.7</v>
      </c>
      <c r="Q20" s="13">
        <v>2.2000000000000002</v>
      </c>
      <c r="R20" s="151">
        <v>5.9</v>
      </c>
      <c r="S20" s="160">
        <v>0.8</v>
      </c>
      <c r="T20" s="216">
        <v>1.4</v>
      </c>
      <c r="U20" s="152">
        <v>1.1000000000000001</v>
      </c>
      <c r="V20" s="158">
        <v>1.1000000000000001</v>
      </c>
      <c r="W20" s="142">
        <v>3</v>
      </c>
      <c r="X20" s="162" t="s">
        <v>30</v>
      </c>
      <c r="Y20" s="123" t="s">
        <v>183</v>
      </c>
      <c r="Z20" s="146">
        <v>10.4</v>
      </c>
      <c r="AA20" s="326"/>
    </row>
    <row r="21" spans="1:27" ht="18.75" customHeight="1">
      <c r="A21" s="28">
        <v>15</v>
      </c>
      <c r="B21" s="132" t="s">
        <v>184</v>
      </c>
      <c r="C21" s="139" t="s">
        <v>28</v>
      </c>
      <c r="D21" s="127" t="s">
        <v>59</v>
      </c>
      <c r="E21" s="120">
        <v>18</v>
      </c>
      <c r="F21" s="207">
        <v>6.6</v>
      </c>
      <c r="G21" s="44">
        <f>49/18</f>
        <v>2.7222222222222223</v>
      </c>
      <c r="H21" s="2">
        <f>86/18</f>
        <v>4.7777777777777777</v>
      </c>
      <c r="I21" s="61">
        <v>57</v>
      </c>
      <c r="J21" s="186">
        <f>2/18</f>
        <v>0.1111111111111111</v>
      </c>
      <c r="K21" s="2">
        <f>14/18</f>
        <v>0.77777777777777779</v>
      </c>
      <c r="L21" s="61">
        <v>14.3</v>
      </c>
      <c r="M21" s="44">
        <f>15/18</f>
        <v>0.83333333333333337</v>
      </c>
      <c r="N21" s="2">
        <f>29/18</f>
        <v>1.6111111111111112</v>
      </c>
      <c r="O21" s="62">
        <v>51.7</v>
      </c>
      <c r="P21" s="71">
        <v>4.2</v>
      </c>
      <c r="Q21" s="2">
        <v>1.8</v>
      </c>
      <c r="R21" s="72">
        <v>6.1</v>
      </c>
      <c r="S21" s="120">
        <v>2.2000000000000002</v>
      </c>
      <c r="T21" s="90">
        <v>0.3</v>
      </c>
      <c r="U21" s="44">
        <v>1.6</v>
      </c>
      <c r="V21" s="110">
        <v>0.4</v>
      </c>
      <c r="W21" s="71">
        <v>1.4</v>
      </c>
      <c r="X21" s="106" t="s">
        <v>30</v>
      </c>
      <c r="Y21" s="120">
        <v>21.6</v>
      </c>
      <c r="Z21" s="114">
        <v>10.1</v>
      </c>
      <c r="AA21" s="326"/>
    </row>
    <row r="22" spans="1:27" ht="18.75" customHeight="1">
      <c r="A22" s="30">
        <v>16</v>
      </c>
      <c r="B22" s="205" t="s">
        <v>185</v>
      </c>
      <c r="C22" s="140" t="s">
        <v>116</v>
      </c>
      <c r="D22" s="128" t="s">
        <v>59</v>
      </c>
      <c r="E22" s="123">
        <v>23</v>
      </c>
      <c r="F22" s="210">
        <v>9.6999999999999993</v>
      </c>
      <c r="G22" s="142">
        <f>52/23</f>
        <v>2.2608695652173911</v>
      </c>
      <c r="H22" s="13">
        <f>109/23</f>
        <v>4.7391304347826084</v>
      </c>
      <c r="I22" s="150">
        <v>47.7</v>
      </c>
      <c r="J22" s="142">
        <f>28/23</f>
        <v>1.2173913043478262</v>
      </c>
      <c r="K22" s="13">
        <f>85/23</f>
        <v>3.6956521739130435</v>
      </c>
      <c r="L22" s="149">
        <v>32.9</v>
      </c>
      <c r="M22" s="142">
        <f>35/23</f>
        <v>1.5217391304347827</v>
      </c>
      <c r="N22" s="13">
        <f>52/23</f>
        <v>2.2608695652173911</v>
      </c>
      <c r="O22" s="149">
        <v>67.3</v>
      </c>
      <c r="P22" s="152">
        <v>3.8</v>
      </c>
      <c r="Q22" s="12">
        <v>0.9</v>
      </c>
      <c r="R22" s="151">
        <v>4.7</v>
      </c>
      <c r="S22" s="123">
        <v>1.3</v>
      </c>
      <c r="T22" s="213">
        <v>0.4</v>
      </c>
      <c r="U22" s="152">
        <v>2.1</v>
      </c>
      <c r="V22" s="158">
        <v>1.2</v>
      </c>
      <c r="W22" s="152">
        <v>1.3</v>
      </c>
      <c r="X22" s="162" t="s">
        <v>30</v>
      </c>
      <c r="Y22" s="123" t="s">
        <v>186</v>
      </c>
      <c r="Z22" s="146">
        <v>9.9</v>
      </c>
      <c r="AA22" s="326"/>
    </row>
    <row r="23" spans="1:27" ht="18.75" customHeight="1">
      <c r="A23" s="125">
        <v>17</v>
      </c>
      <c r="B23" s="132" t="s">
        <v>187</v>
      </c>
      <c r="C23" s="139" t="s">
        <v>40</v>
      </c>
      <c r="D23" s="127" t="s">
        <v>47</v>
      </c>
      <c r="E23" s="120">
        <v>21</v>
      </c>
      <c r="F23" s="207">
        <v>10.7</v>
      </c>
      <c r="G23" s="44">
        <f>49/21</f>
        <v>2.3333333333333335</v>
      </c>
      <c r="H23" s="2">
        <f>109/21</f>
        <v>5.1904761904761907</v>
      </c>
      <c r="I23" s="61">
        <v>45</v>
      </c>
      <c r="J23" s="44">
        <f>27/21</f>
        <v>1.2857142857142858</v>
      </c>
      <c r="K23" s="2">
        <f>85/21</f>
        <v>4.0476190476190474</v>
      </c>
      <c r="L23" s="61">
        <v>31.8</v>
      </c>
      <c r="M23" s="44">
        <f>45/21</f>
        <v>2.1428571428571428</v>
      </c>
      <c r="N23" s="2">
        <f>88/21</f>
        <v>4.1904761904761907</v>
      </c>
      <c r="O23" s="61">
        <v>51.1</v>
      </c>
      <c r="P23" s="71">
        <v>3.5</v>
      </c>
      <c r="Q23" s="1">
        <v>0.9</v>
      </c>
      <c r="R23" s="72">
        <v>4.4000000000000004</v>
      </c>
      <c r="S23" s="120">
        <v>2.2999999999999998</v>
      </c>
      <c r="T23" s="90">
        <v>0.2</v>
      </c>
      <c r="U23" s="71">
        <v>2.2999999999999998</v>
      </c>
      <c r="V23" s="110">
        <v>0.8</v>
      </c>
      <c r="W23" s="44">
        <v>2</v>
      </c>
      <c r="X23" s="106" t="s">
        <v>30</v>
      </c>
      <c r="Y23" s="120" t="s">
        <v>188</v>
      </c>
      <c r="Z23" s="115">
        <v>9.1</v>
      </c>
      <c r="AA23" s="326"/>
    </row>
    <row r="24" spans="1:27" ht="18.75" customHeight="1">
      <c r="A24" s="124">
        <v>18</v>
      </c>
      <c r="B24" s="131" t="s">
        <v>189</v>
      </c>
      <c r="C24" s="140" t="s">
        <v>40</v>
      </c>
      <c r="D24" s="128" t="s">
        <v>41</v>
      </c>
      <c r="E24" s="123">
        <v>30</v>
      </c>
      <c r="F24" s="208">
        <v>8.3000000000000007</v>
      </c>
      <c r="G24" s="142">
        <f>65/30</f>
        <v>2.1666666666666665</v>
      </c>
      <c r="H24" s="13">
        <f>116/30</f>
        <v>3.8666666666666667</v>
      </c>
      <c r="I24" s="149">
        <v>56</v>
      </c>
      <c r="J24" s="142">
        <f>32/30</f>
        <v>1.0666666666666667</v>
      </c>
      <c r="K24" s="12">
        <f>87/30</f>
        <v>2.9</v>
      </c>
      <c r="L24" s="149">
        <v>36.799999999999997</v>
      </c>
      <c r="M24" s="142">
        <f>24/30</f>
        <v>0.8</v>
      </c>
      <c r="N24" s="13">
        <f>35/30</f>
        <v>1.1666666666666667</v>
      </c>
      <c r="O24" s="150">
        <v>68.599999999999994</v>
      </c>
      <c r="P24" s="152">
        <v>3.2</v>
      </c>
      <c r="Q24" s="12">
        <v>1.2</v>
      </c>
      <c r="R24" s="151">
        <v>4.4000000000000004</v>
      </c>
      <c r="S24" s="123">
        <v>1.3</v>
      </c>
      <c r="T24" s="213">
        <v>0.3</v>
      </c>
      <c r="U24" s="152">
        <v>1.4</v>
      </c>
      <c r="V24" s="158">
        <v>0.9</v>
      </c>
      <c r="W24" s="152">
        <v>2.6</v>
      </c>
      <c r="X24" s="162" t="s">
        <v>30</v>
      </c>
      <c r="Y24" s="123" t="s">
        <v>145</v>
      </c>
      <c r="Z24" s="146">
        <v>8.9</v>
      </c>
      <c r="AA24" s="326"/>
    </row>
    <row r="25" spans="1:27" ht="18.75" customHeight="1">
      <c r="A25" s="125">
        <v>19</v>
      </c>
      <c r="B25" s="132" t="s">
        <v>190</v>
      </c>
      <c r="C25" s="139" t="s">
        <v>40</v>
      </c>
      <c r="D25" s="127" t="s">
        <v>50</v>
      </c>
      <c r="E25" s="120">
        <v>17</v>
      </c>
      <c r="F25" s="209">
        <v>5.5</v>
      </c>
      <c r="G25" s="44">
        <f>37/17</f>
        <v>2.1764705882352939</v>
      </c>
      <c r="H25" s="2">
        <f>61/17</f>
        <v>3.5882352941176472</v>
      </c>
      <c r="I25" s="62">
        <v>60.7</v>
      </c>
      <c r="J25" s="44">
        <f>5/17</f>
        <v>0.29411764705882354</v>
      </c>
      <c r="K25" s="2">
        <f>24/17</f>
        <v>1.411764705882353</v>
      </c>
      <c r="L25" s="62">
        <v>20.8</v>
      </c>
      <c r="M25" s="44">
        <f>4/17</f>
        <v>0.23529411764705882</v>
      </c>
      <c r="N25" s="2">
        <f>12/17</f>
        <v>0.70588235294117652</v>
      </c>
      <c r="O25" s="62">
        <v>33.299999999999997</v>
      </c>
      <c r="P25" s="71">
        <v>3.2</v>
      </c>
      <c r="Q25" s="1">
        <v>1.3</v>
      </c>
      <c r="R25" s="75">
        <v>4.5</v>
      </c>
      <c r="S25" s="120">
        <v>0.9</v>
      </c>
      <c r="T25" s="90">
        <v>0.2</v>
      </c>
      <c r="U25" s="71">
        <v>0.8</v>
      </c>
      <c r="V25" s="110">
        <v>0.8</v>
      </c>
      <c r="W25" s="71">
        <v>1.6</v>
      </c>
      <c r="X25" s="106" t="s">
        <v>30</v>
      </c>
      <c r="Y25" s="122" t="s">
        <v>191</v>
      </c>
      <c r="Z25" s="115">
        <v>7.4</v>
      </c>
      <c r="AA25" s="326"/>
    </row>
    <row r="26" spans="1:27" ht="18.75" customHeight="1">
      <c r="A26" s="339">
        <v>20</v>
      </c>
      <c r="B26" s="340" t="s">
        <v>192</v>
      </c>
      <c r="C26" s="349" t="s">
        <v>40</v>
      </c>
      <c r="D26" s="128" t="s">
        <v>38</v>
      </c>
      <c r="E26" s="123">
        <v>10</v>
      </c>
      <c r="F26" s="351">
        <v>6.9</v>
      </c>
      <c r="G26" s="142">
        <v>1.6</v>
      </c>
      <c r="H26" s="13">
        <v>3.3</v>
      </c>
      <c r="I26" s="150">
        <v>48.5</v>
      </c>
      <c r="J26" s="142">
        <f>9/10</f>
        <v>0.9</v>
      </c>
      <c r="K26" s="13">
        <v>3.5</v>
      </c>
      <c r="L26" s="149">
        <v>25.7</v>
      </c>
      <c r="M26" s="142">
        <v>0.8</v>
      </c>
      <c r="N26" s="13">
        <v>1</v>
      </c>
      <c r="O26" s="149">
        <v>80</v>
      </c>
      <c r="P26" s="142">
        <v>2.6</v>
      </c>
      <c r="Q26" s="12">
        <v>0.5</v>
      </c>
      <c r="R26" s="151">
        <v>3.1</v>
      </c>
      <c r="S26" s="123">
        <v>1.8</v>
      </c>
      <c r="T26" s="214">
        <v>0.6</v>
      </c>
      <c r="U26" s="152">
        <v>0.8</v>
      </c>
      <c r="V26" s="158">
        <v>0.7</v>
      </c>
      <c r="W26" s="152">
        <v>1.3</v>
      </c>
      <c r="X26" s="162" t="s">
        <v>30</v>
      </c>
      <c r="Y26" s="123" t="s">
        <v>193</v>
      </c>
      <c r="Z26" s="353">
        <v>6.7</v>
      </c>
      <c r="AA26" s="326"/>
    </row>
    <row r="27" spans="1:27" ht="18.75" customHeight="1">
      <c r="A27" s="347"/>
      <c r="B27" s="348"/>
      <c r="C27" s="350"/>
      <c r="D27" s="206" t="s">
        <v>66</v>
      </c>
      <c r="E27" s="174">
        <v>29</v>
      </c>
      <c r="F27" s="352"/>
      <c r="G27" s="47">
        <f>57/29</f>
        <v>1.9655172413793103</v>
      </c>
      <c r="H27" s="48">
        <f>117/29</f>
        <v>4.0344827586206895</v>
      </c>
      <c r="I27" s="64">
        <v>48.7</v>
      </c>
      <c r="J27" s="47">
        <f>22/29</f>
        <v>0.75862068965517238</v>
      </c>
      <c r="K27" s="48">
        <f>68/29</f>
        <v>2.3448275862068964</v>
      </c>
      <c r="L27" s="64">
        <v>32.4</v>
      </c>
      <c r="M27" s="47">
        <f>26/29</f>
        <v>0.89655172413793105</v>
      </c>
      <c r="N27" s="48">
        <f>52/29</f>
        <v>1.7931034482758621</v>
      </c>
      <c r="O27" s="67">
        <v>50</v>
      </c>
      <c r="P27" s="76">
        <v>2.4</v>
      </c>
      <c r="Q27" s="85">
        <v>0.7</v>
      </c>
      <c r="R27" s="86">
        <v>3.2</v>
      </c>
      <c r="S27" s="174">
        <v>1.8</v>
      </c>
      <c r="T27" s="93">
        <v>0.2</v>
      </c>
      <c r="U27" s="76">
        <v>1.4</v>
      </c>
      <c r="V27" s="111">
        <v>0.7</v>
      </c>
      <c r="W27" s="76">
        <v>1.8</v>
      </c>
      <c r="X27" s="107" t="s">
        <v>30</v>
      </c>
      <c r="Y27" s="217" t="s">
        <v>194</v>
      </c>
      <c r="Z27" s="354"/>
      <c r="AA27" s="326"/>
    </row>
    <row r="28" spans="1:27" ht="18.75" customHeight="1">
      <c r="A28" s="316"/>
      <c r="B28" s="317"/>
      <c r="C28" s="317"/>
      <c r="D28" s="317"/>
      <c r="E28" s="317"/>
      <c r="F28" s="317"/>
      <c r="G28" s="317"/>
      <c r="H28" s="317"/>
      <c r="I28" s="317"/>
      <c r="J28" s="317"/>
      <c r="K28" s="317"/>
      <c r="L28" s="317"/>
      <c r="M28" s="317"/>
      <c r="N28" s="317"/>
      <c r="O28" s="317"/>
      <c r="P28" s="317"/>
      <c r="Q28" s="317"/>
      <c r="R28" s="317"/>
      <c r="S28" s="317"/>
      <c r="T28" s="317"/>
      <c r="U28" s="317"/>
      <c r="V28" s="317"/>
      <c r="W28" s="317"/>
      <c r="X28" s="317"/>
      <c r="Y28" s="317"/>
      <c r="Z28" s="317"/>
      <c r="AA28" s="318"/>
    </row>
    <row r="29" spans="1:27" ht="18.75" customHeight="1"/>
  </sheetData>
  <mergeCells count="24">
    <mergeCell ref="AA1:AA27"/>
    <mergeCell ref="A28:AA28"/>
    <mergeCell ref="A26:A27"/>
    <mergeCell ref="Y5:Y6"/>
    <mergeCell ref="Z5:Z6"/>
    <mergeCell ref="B26:B27"/>
    <mergeCell ref="C26:C27"/>
    <mergeCell ref="F26:F27"/>
    <mergeCell ref="Z26:Z27"/>
    <mergeCell ref="M5:O5"/>
    <mergeCell ref="P5:R5"/>
    <mergeCell ref="S5:S6"/>
    <mergeCell ref="T5:T6"/>
    <mergeCell ref="U5:V5"/>
    <mergeCell ref="W5:X5"/>
    <mergeCell ref="A1:Z3"/>
    <mergeCell ref="A4:Z4"/>
    <mergeCell ref="C5:C6"/>
    <mergeCell ref="D5:D6"/>
    <mergeCell ref="E5:E6"/>
    <mergeCell ref="F5:F6"/>
    <mergeCell ref="G5:I5"/>
    <mergeCell ref="J5:L5"/>
    <mergeCell ref="A5:B6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552F1-1D26-40EB-B45F-8B6DFC181948}">
  <dimension ref="A1:AA28"/>
  <sheetViews>
    <sheetView zoomScaleNormal="100" workbookViewId="0">
      <selection sqref="A1:Z3"/>
    </sheetView>
  </sheetViews>
  <sheetFormatPr defaultColWidth="9.140625" defaultRowHeight="15"/>
  <cols>
    <col min="1" max="1" width="3.7109375" customWidth="1"/>
    <col min="2" max="2" width="22.140625" customWidth="1"/>
    <col min="3" max="3" width="6" customWidth="1"/>
    <col min="4" max="4" width="14.42578125" customWidth="1"/>
    <col min="5" max="5" width="5.7109375" customWidth="1"/>
    <col min="6" max="6" width="6.140625" customWidth="1"/>
    <col min="7" max="8" width="4.7109375" customWidth="1"/>
    <col min="9" max="9" width="5.7109375" customWidth="1"/>
    <col min="10" max="11" width="4.7109375" customWidth="1"/>
    <col min="12" max="12" width="5.7109375" customWidth="1"/>
    <col min="13" max="14" width="4.7109375" customWidth="1"/>
    <col min="15" max="15" width="5.7109375" customWidth="1"/>
    <col min="16" max="19" width="4.7109375" customWidth="1"/>
    <col min="20" max="20" width="5.7109375" customWidth="1"/>
    <col min="21" max="24" width="4.7109375" customWidth="1"/>
    <col min="25" max="25" width="5.7109375" customWidth="1"/>
    <col min="26" max="26" width="6.140625" customWidth="1"/>
    <col min="27" max="27" width="4.7109375" customWidth="1"/>
    <col min="28" max="255" width="11.42578125" customWidth="1"/>
  </cols>
  <sheetData>
    <row r="1" spans="1:27" ht="12" customHeight="1">
      <c r="A1" s="289" t="s">
        <v>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325"/>
    </row>
    <row r="2" spans="1:27" ht="12" customHeight="1">
      <c r="A2" s="291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326"/>
    </row>
    <row r="3" spans="1:27" ht="12" customHeight="1">
      <c r="A3" s="291"/>
      <c r="B3" s="292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326"/>
    </row>
    <row r="4" spans="1:27" ht="24" customHeight="1">
      <c r="A4" s="327" t="s">
        <v>195</v>
      </c>
      <c r="B4" s="328"/>
      <c r="C4" s="328"/>
      <c r="D4" s="328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294"/>
      <c r="U4" s="328"/>
      <c r="V4" s="328"/>
      <c r="W4" s="328"/>
      <c r="X4" s="328"/>
      <c r="Y4" s="294"/>
      <c r="Z4" s="328"/>
      <c r="AA4" s="326"/>
    </row>
    <row r="5" spans="1:27" ht="15.75" customHeight="1">
      <c r="A5" s="312" t="s">
        <v>2</v>
      </c>
      <c r="B5" s="313"/>
      <c r="C5" s="310" t="s">
        <v>3</v>
      </c>
      <c r="D5" s="334" t="s">
        <v>4</v>
      </c>
      <c r="E5" s="344" t="s">
        <v>5</v>
      </c>
      <c r="F5" s="344" t="s">
        <v>6</v>
      </c>
      <c r="G5" s="301" t="s">
        <v>7</v>
      </c>
      <c r="H5" s="302"/>
      <c r="I5" s="303"/>
      <c r="J5" s="301" t="s">
        <v>8</v>
      </c>
      <c r="K5" s="302"/>
      <c r="L5" s="303"/>
      <c r="M5" s="301" t="s">
        <v>9</v>
      </c>
      <c r="N5" s="302"/>
      <c r="O5" s="303"/>
      <c r="P5" s="295" t="s">
        <v>10</v>
      </c>
      <c r="Q5" s="304"/>
      <c r="R5" s="296"/>
      <c r="S5" s="305" t="s">
        <v>11</v>
      </c>
      <c r="T5" s="310" t="s">
        <v>12</v>
      </c>
      <c r="U5" s="301" t="s">
        <v>13</v>
      </c>
      <c r="V5" s="303"/>
      <c r="W5" s="295" t="s">
        <v>14</v>
      </c>
      <c r="X5" s="296"/>
      <c r="Y5" s="297" t="s">
        <v>15</v>
      </c>
      <c r="Z5" s="299" t="s">
        <v>16</v>
      </c>
      <c r="AA5" s="326"/>
    </row>
    <row r="6" spans="1:27" ht="18" customHeight="1">
      <c r="A6" s="314"/>
      <c r="B6" s="315"/>
      <c r="C6" s="311"/>
      <c r="D6" s="335"/>
      <c r="E6" s="345"/>
      <c r="F6" s="345"/>
      <c r="G6" s="17" t="s">
        <v>17</v>
      </c>
      <c r="H6" s="18" t="s">
        <v>18</v>
      </c>
      <c r="I6" s="21" t="s">
        <v>19</v>
      </c>
      <c r="J6" s="17" t="s">
        <v>17</v>
      </c>
      <c r="K6" s="18" t="s">
        <v>18</v>
      </c>
      <c r="L6" s="21" t="s">
        <v>19</v>
      </c>
      <c r="M6" s="17" t="s">
        <v>17</v>
      </c>
      <c r="N6" s="18" t="s">
        <v>18</v>
      </c>
      <c r="O6" s="21" t="s">
        <v>19</v>
      </c>
      <c r="P6" s="68" t="s">
        <v>20</v>
      </c>
      <c r="Q6" s="22" t="s">
        <v>21</v>
      </c>
      <c r="R6" s="69" t="s">
        <v>22</v>
      </c>
      <c r="S6" s="306"/>
      <c r="T6" s="311"/>
      <c r="U6" s="17" t="s">
        <v>23</v>
      </c>
      <c r="V6" s="21" t="s">
        <v>24</v>
      </c>
      <c r="W6" s="68" t="s">
        <v>25</v>
      </c>
      <c r="X6" s="69" t="s">
        <v>26</v>
      </c>
      <c r="Y6" s="298"/>
      <c r="Z6" s="300"/>
      <c r="AA6" s="326"/>
    </row>
    <row r="7" spans="1:27" ht="18.75" customHeight="1">
      <c r="A7" s="28">
        <v>1</v>
      </c>
      <c r="B7" s="26" t="s">
        <v>196</v>
      </c>
      <c r="C7" s="219" t="s">
        <v>40</v>
      </c>
      <c r="D7" s="181" t="s">
        <v>66</v>
      </c>
      <c r="E7" s="90">
        <v>35</v>
      </c>
      <c r="F7" s="209">
        <v>15.5</v>
      </c>
      <c r="G7" s="44">
        <f>224/35</f>
        <v>6.4</v>
      </c>
      <c r="H7" s="2">
        <f>395/35</f>
        <v>11.285714285714286</v>
      </c>
      <c r="I7" s="62">
        <v>56.7</v>
      </c>
      <c r="J7" s="44">
        <f>7/35</f>
        <v>0.2</v>
      </c>
      <c r="K7" s="2">
        <f>38/35</f>
        <v>1.0857142857142856</v>
      </c>
      <c r="L7" s="62">
        <v>18.399999999999999</v>
      </c>
      <c r="M7" s="44">
        <f>75/35</f>
        <v>2.1428571428571428</v>
      </c>
      <c r="N7" s="2">
        <f>199/35</f>
        <v>5.6857142857142859</v>
      </c>
      <c r="O7" s="62">
        <v>44.4</v>
      </c>
      <c r="P7" s="71">
        <v>5.4</v>
      </c>
      <c r="Q7" s="1">
        <v>4.2</v>
      </c>
      <c r="R7" s="75">
        <v>9.6</v>
      </c>
      <c r="S7" s="100">
        <v>2.2999999999999998</v>
      </c>
      <c r="T7" s="120">
        <v>0.4</v>
      </c>
      <c r="U7" s="71">
        <v>2.2999999999999998</v>
      </c>
      <c r="V7" s="110">
        <v>1.5</v>
      </c>
      <c r="W7" s="71">
        <v>2.9</v>
      </c>
      <c r="X7" s="106" t="s">
        <v>30</v>
      </c>
      <c r="Y7" s="204" t="s">
        <v>197</v>
      </c>
      <c r="Z7" s="115">
        <v>19.899999999999999</v>
      </c>
      <c r="AA7" s="326"/>
    </row>
    <row r="8" spans="1:27" ht="18.75" customHeight="1">
      <c r="A8" s="29">
        <v>2</v>
      </c>
      <c r="B8" s="27" t="s">
        <v>198</v>
      </c>
      <c r="C8" s="220" t="s">
        <v>28</v>
      </c>
      <c r="D8" s="182" t="s">
        <v>41</v>
      </c>
      <c r="E8" s="89">
        <v>27</v>
      </c>
      <c r="F8" s="222">
        <v>13.4</v>
      </c>
      <c r="G8" s="43">
        <f>106/27</f>
        <v>3.925925925925926</v>
      </c>
      <c r="H8" s="9">
        <f>202/27</f>
        <v>7.4814814814814818</v>
      </c>
      <c r="I8" s="63">
        <v>52.7</v>
      </c>
      <c r="J8" s="43">
        <f>26/27</f>
        <v>0.96296296296296291</v>
      </c>
      <c r="K8" s="9">
        <f>71/27</f>
        <v>2.6296296296296298</v>
      </c>
      <c r="L8" s="60">
        <v>36.6</v>
      </c>
      <c r="M8" s="43">
        <f>71/27</f>
        <v>2.6296296296296298</v>
      </c>
      <c r="N8" s="9">
        <f>108/27</f>
        <v>4</v>
      </c>
      <c r="O8" s="63">
        <v>65.7</v>
      </c>
      <c r="P8" s="73">
        <v>9.1999999999999993</v>
      </c>
      <c r="Q8" s="8">
        <v>2.6</v>
      </c>
      <c r="R8" s="70">
        <v>11.8</v>
      </c>
      <c r="S8" s="97">
        <v>1.2</v>
      </c>
      <c r="T8" s="119">
        <v>1.4</v>
      </c>
      <c r="U8" s="73">
        <v>2.2999999999999998</v>
      </c>
      <c r="V8" s="109">
        <v>0.6</v>
      </c>
      <c r="W8" s="73">
        <v>3.3</v>
      </c>
      <c r="X8" s="105" t="s">
        <v>30</v>
      </c>
      <c r="Y8" s="119" t="s">
        <v>199</v>
      </c>
      <c r="Z8" s="113">
        <v>19.600000000000001</v>
      </c>
      <c r="AA8" s="326"/>
    </row>
    <row r="9" spans="1:27" ht="18.75" customHeight="1">
      <c r="A9" s="28">
        <v>3</v>
      </c>
      <c r="B9" s="26" t="s">
        <v>200</v>
      </c>
      <c r="C9" s="219" t="s">
        <v>40</v>
      </c>
      <c r="D9" s="181" t="s">
        <v>38</v>
      </c>
      <c r="E9" s="90">
        <v>16</v>
      </c>
      <c r="F9" s="207">
        <v>12.5</v>
      </c>
      <c r="G9" s="44">
        <f>69/16</f>
        <v>4.3125</v>
      </c>
      <c r="H9" s="2">
        <f>111/16</f>
        <v>6.9375</v>
      </c>
      <c r="I9" s="62">
        <v>62.2</v>
      </c>
      <c r="J9" s="44">
        <f>8/16</f>
        <v>0.5</v>
      </c>
      <c r="K9" s="2">
        <f>33/16</f>
        <v>2.0625</v>
      </c>
      <c r="L9" s="61">
        <v>24.2</v>
      </c>
      <c r="M9" s="44">
        <f>38/16</f>
        <v>2.375</v>
      </c>
      <c r="N9" s="2">
        <f>48/16</f>
        <v>3</v>
      </c>
      <c r="O9" s="61">
        <v>79.2</v>
      </c>
      <c r="P9" s="71">
        <v>5.7</v>
      </c>
      <c r="Q9" s="1">
        <v>2.7</v>
      </c>
      <c r="R9" s="72">
        <v>8.4</v>
      </c>
      <c r="S9" s="100">
        <v>2.5</v>
      </c>
      <c r="T9" s="120">
        <v>1.6</v>
      </c>
      <c r="U9" s="71">
        <v>1.1000000000000001</v>
      </c>
      <c r="V9" s="110">
        <v>0.6</v>
      </c>
      <c r="W9" s="71">
        <v>2.4</v>
      </c>
      <c r="X9" s="106" t="s">
        <v>30</v>
      </c>
      <c r="Y9" s="120">
        <v>28.5</v>
      </c>
      <c r="Z9" s="114">
        <v>19</v>
      </c>
      <c r="AA9" s="326"/>
    </row>
    <row r="10" spans="1:27" ht="18.75" customHeight="1">
      <c r="A10" s="29">
        <v>4</v>
      </c>
      <c r="B10" s="27" t="s">
        <v>201</v>
      </c>
      <c r="C10" s="220" t="s">
        <v>28</v>
      </c>
      <c r="D10" s="182" t="s">
        <v>50</v>
      </c>
      <c r="E10" s="89">
        <v>26</v>
      </c>
      <c r="F10" s="222">
        <v>17.3</v>
      </c>
      <c r="G10" s="43">
        <f>145/26</f>
        <v>5.5769230769230766</v>
      </c>
      <c r="H10" s="9">
        <f>278/26</f>
        <v>10.692307692307692</v>
      </c>
      <c r="I10" s="63">
        <v>52.2</v>
      </c>
      <c r="J10" s="43">
        <v>1</v>
      </c>
      <c r="K10" s="8">
        <f>65/26</f>
        <v>2.5</v>
      </c>
      <c r="L10" s="60">
        <v>40</v>
      </c>
      <c r="M10" s="43">
        <f>82/26</f>
        <v>3.1538461538461537</v>
      </c>
      <c r="N10" s="9">
        <f>104/26</f>
        <v>4</v>
      </c>
      <c r="O10" s="63">
        <v>78.8</v>
      </c>
      <c r="P10" s="73">
        <v>5.4</v>
      </c>
      <c r="Q10" s="9">
        <v>2</v>
      </c>
      <c r="R10" s="74">
        <v>7.2</v>
      </c>
      <c r="S10" s="97">
        <v>1.3</v>
      </c>
      <c r="T10" s="196">
        <v>1</v>
      </c>
      <c r="U10" s="73">
        <v>2.1</v>
      </c>
      <c r="V10" s="194">
        <v>1</v>
      </c>
      <c r="W10" s="73">
        <v>2.9</v>
      </c>
      <c r="X10" s="105" t="s">
        <v>30</v>
      </c>
      <c r="Y10" s="121" t="s">
        <v>202</v>
      </c>
      <c r="Z10" s="113">
        <v>18.600000000000001</v>
      </c>
      <c r="AA10" s="326"/>
    </row>
    <row r="11" spans="1:27" ht="18.75" customHeight="1">
      <c r="A11" s="28">
        <v>5</v>
      </c>
      <c r="B11" s="26" t="s">
        <v>203</v>
      </c>
      <c r="C11" s="219" t="s">
        <v>28</v>
      </c>
      <c r="D11" s="181" t="s">
        <v>63</v>
      </c>
      <c r="E11" s="90">
        <v>14</v>
      </c>
      <c r="F11" s="209">
        <v>17.7</v>
      </c>
      <c r="G11" s="44">
        <f>95/14</f>
        <v>6.7857142857142856</v>
      </c>
      <c r="H11" s="2">
        <f>183/14</f>
        <v>13.071428571428571</v>
      </c>
      <c r="I11" s="61">
        <v>51.9</v>
      </c>
      <c r="J11" s="44">
        <f>5/14</f>
        <v>0.35714285714285715</v>
      </c>
      <c r="K11" s="2">
        <f>24/14</f>
        <v>1.7142857142857142</v>
      </c>
      <c r="L11" s="61">
        <v>20.8</v>
      </c>
      <c r="M11" s="44">
        <f>43/14</f>
        <v>3.0714285714285716</v>
      </c>
      <c r="N11" s="2">
        <f>97/14</f>
        <v>6.9285714285714288</v>
      </c>
      <c r="O11" s="188">
        <v>44.3</v>
      </c>
      <c r="P11" s="44">
        <v>6</v>
      </c>
      <c r="Q11" s="1">
        <v>2.9</v>
      </c>
      <c r="R11" s="72">
        <v>8.9</v>
      </c>
      <c r="S11" s="100">
        <v>0.3</v>
      </c>
      <c r="T11" s="161">
        <v>1.5</v>
      </c>
      <c r="U11" s="44">
        <v>2.2999999999999998</v>
      </c>
      <c r="V11" s="110">
        <v>0.6</v>
      </c>
      <c r="W11" s="71">
        <v>1.9</v>
      </c>
      <c r="X11" s="106" t="s">
        <v>30</v>
      </c>
      <c r="Y11" s="120" t="s">
        <v>204</v>
      </c>
      <c r="Z11" s="114">
        <v>18.100000000000001</v>
      </c>
      <c r="AA11" s="326"/>
    </row>
    <row r="12" spans="1:27" ht="18.75" customHeight="1">
      <c r="A12" s="29">
        <v>6</v>
      </c>
      <c r="B12" s="27" t="s">
        <v>205</v>
      </c>
      <c r="C12" s="220" t="s">
        <v>28</v>
      </c>
      <c r="D12" s="182" t="s">
        <v>59</v>
      </c>
      <c r="E12" s="89">
        <v>16</v>
      </c>
      <c r="F12" s="222">
        <v>16.899999999999999</v>
      </c>
      <c r="G12" s="43">
        <f>68/16</f>
        <v>4.25</v>
      </c>
      <c r="H12" s="9">
        <f>117/16</f>
        <v>7.3125</v>
      </c>
      <c r="I12" s="63">
        <v>58.1</v>
      </c>
      <c r="J12" s="43">
        <f>27/16</f>
        <v>1.6875</v>
      </c>
      <c r="K12" s="9">
        <f>73/16</f>
        <v>4.5625</v>
      </c>
      <c r="L12" s="60">
        <v>37</v>
      </c>
      <c r="M12" s="43">
        <f>54/16</f>
        <v>3.375</v>
      </c>
      <c r="N12" s="9">
        <f>75/16</f>
        <v>4.6875</v>
      </c>
      <c r="O12" s="60">
        <v>72</v>
      </c>
      <c r="P12" s="73">
        <v>4.5</v>
      </c>
      <c r="Q12" s="8">
        <v>1.1000000000000001</v>
      </c>
      <c r="R12" s="70">
        <v>5.6</v>
      </c>
      <c r="S12" s="97">
        <v>1.4</v>
      </c>
      <c r="T12" s="119">
        <v>0.2</v>
      </c>
      <c r="U12" s="73">
        <v>1.9</v>
      </c>
      <c r="V12" s="194">
        <v>1.2</v>
      </c>
      <c r="W12" s="73">
        <v>1.6</v>
      </c>
      <c r="X12" s="105" t="s">
        <v>30</v>
      </c>
      <c r="Y12" s="119">
        <v>30.3</v>
      </c>
      <c r="Z12" s="113">
        <v>17.7</v>
      </c>
      <c r="AA12" s="326"/>
    </row>
    <row r="13" spans="1:27" ht="18.75" customHeight="1">
      <c r="A13" s="28">
        <v>7</v>
      </c>
      <c r="B13" s="26" t="s">
        <v>206</v>
      </c>
      <c r="C13" s="219" t="s">
        <v>28</v>
      </c>
      <c r="D13" s="181" t="s">
        <v>81</v>
      </c>
      <c r="E13" s="90">
        <v>13</v>
      </c>
      <c r="F13" s="209">
        <v>12.2</v>
      </c>
      <c r="G13" s="44">
        <f>60/13</f>
        <v>4.615384615384615</v>
      </c>
      <c r="H13" s="2">
        <f>104/13</f>
        <v>8</v>
      </c>
      <c r="I13" s="61">
        <v>57.7</v>
      </c>
      <c r="J13" s="44">
        <f>9/13</f>
        <v>0.69230769230769229</v>
      </c>
      <c r="K13" s="2">
        <f>28/13</f>
        <v>2.1538461538461537</v>
      </c>
      <c r="L13" s="61">
        <v>32.1</v>
      </c>
      <c r="M13" s="44">
        <f>12/13</f>
        <v>0.92307692307692313</v>
      </c>
      <c r="N13" s="2">
        <f>18/13</f>
        <v>1.3846153846153846</v>
      </c>
      <c r="O13" s="61">
        <v>66.7</v>
      </c>
      <c r="P13" s="71">
        <v>5.6</v>
      </c>
      <c r="Q13" s="1">
        <v>2.9</v>
      </c>
      <c r="R13" s="72">
        <v>8.5</v>
      </c>
      <c r="S13" s="100">
        <v>0.7</v>
      </c>
      <c r="T13" s="161">
        <v>1.4</v>
      </c>
      <c r="U13" s="44">
        <v>1.5</v>
      </c>
      <c r="V13" s="110">
        <v>0.6</v>
      </c>
      <c r="W13" s="71">
        <v>2.6</v>
      </c>
      <c r="X13" s="106" t="s">
        <v>30</v>
      </c>
      <c r="Y13" s="120" t="s">
        <v>72</v>
      </c>
      <c r="Z13" s="114">
        <v>16</v>
      </c>
      <c r="AA13" s="326"/>
    </row>
    <row r="14" spans="1:27" ht="18.75" customHeight="1">
      <c r="A14" s="29">
        <v>8</v>
      </c>
      <c r="B14" s="27" t="s">
        <v>207</v>
      </c>
      <c r="C14" s="220" t="s">
        <v>28</v>
      </c>
      <c r="D14" s="182" t="s">
        <v>44</v>
      </c>
      <c r="E14" s="89">
        <v>17</v>
      </c>
      <c r="F14" s="222">
        <v>11.5</v>
      </c>
      <c r="G14" s="43">
        <f>76/17</f>
        <v>4.4705882352941178</v>
      </c>
      <c r="H14" s="9">
        <f>142/17</f>
        <v>8.3529411764705888</v>
      </c>
      <c r="I14" s="63">
        <v>53.5</v>
      </c>
      <c r="J14" s="225">
        <v>0</v>
      </c>
      <c r="K14" s="9">
        <f>11/17</f>
        <v>0.6470588235294118</v>
      </c>
      <c r="L14" s="78">
        <v>0</v>
      </c>
      <c r="M14" s="43">
        <f>43/17</f>
        <v>2.5294117647058822</v>
      </c>
      <c r="N14" s="9">
        <f>60/17</f>
        <v>3.5294117647058822</v>
      </c>
      <c r="O14" s="60">
        <v>71.7</v>
      </c>
      <c r="P14" s="43">
        <v>3.8</v>
      </c>
      <c r="Q14" s="8">
        <v>2.1</v>
      </c>
      <c r="R14" s="70">
        <v>5.9</v>
      </c>
      <c r="S14" s="97">
        <v>0.9</v>
      </c>
      <c r="T14" s="196">
        <v>0.3</v>
      </c>
      <c r="U14" s="73">
        <v>1.8</v>
      </c>
      <c r="V14" s="109">
        <v>0.7</v>
      </c>
      <c r="W14" s="73">
        <v>2.1</v>
      </c>
      <c r="X14" s="105" t="s">
        <v>30</v>
      </c>
      <c r="Y14" s="119" t="s">
        <v>208</v>
      </c>
      <c r="Z14" s="113">
        <v>12.4</v>
      </c>
      <c r="AA14" s="326"/>
    </row>
    <row r="15" spans="1:27" ht="18.75" customHeight="1">
      <c r="A15" s="28">
        <v>9</v>
      </c>
      <c r="B15" s="26" t="s">
        <v>209</v>
      </c>
      <c r="C15" s="219" t="s">
        <v>40</v>
      </c>
      <c r="D15" s="181" t="s">
        <v>35</v>
      </c>
      <c r="E15" s="90">
        <v>20</v>
      </c>
      <c r="F15" s="209">
        <v>13.2</v>
      </c>
      <c r="G15" s="44">
        <f>101/20</f>
        <v>5.05</v>
      </c>
      <c r="H15" s="2">
        <f>216/20</f>
        <v>10.8</v>
      </c>
      <c r="I15" s="61">
        <v>46.8</v>
      </c>
      <c r="J15" s="186">
        <f>3/20</f>
        <v>0.15</v>
      </c>
      <c r="K15" s="2">
        <f>16/20</f>
        <v>0.8</v>
      </c>
      <c r="L15" s="61">
        <v>18.8</v>
      </c>
      <c r="M15" s="44">
        <f>53/20</f>
        <v>2.65</v>
      </c>
      <c r="N15" s="2">
        <f>104/20</f>
        <v>5.2</v>
      </c>
      <c r="O15" s="61">
        <v>51</v>
      </c>
      <c r="P15" s="71">
        <v>4.9000000000000004</v>
      </c>
      <c r="Q15" s="2">
        <v>2.4</v>
      </c>
      <c r="R15" s="72">
        <v>7.2</v>
      </c>
      <c r="S15" s="103">
        <v>1.4</v>
      </c>
      <c r="T15" s="159">
        <v>0.6</v>
      </c>
      <c r="U15" s="71">
        <v>2.2999999999999998</v>
      </c>
      <c r="V15" s="110">
        <v>0.5</v>
      </c>
      <c r="W15" s="44">
        <v>3.3</v>
      </c>
      <c r="X15" s="106" t="s">
        <v>30</v>
      </c>
      <c r="Y15" s="120" t="s">
        <v>82</v>
      </c>
      <c r="Z15" s="115">
        <v>12.1</v>
      </c>
      <c r="AA15" s="326"/>
    </row>
    <row r="16" spans="1:27" ht="18.75" customHeight="1">
      <c r="A16" s="29">
        <v>10</v>
      </c>
      <c r="B16" s="27" t="s">
        <v>210</v>
      </c>
      <c r="C16" s="220" t="s">
        <v>28</v>
      </c>
      <c r="D16" s="182" t="s">
        <v>44</v>
      </c>
      <c r="E16" s="89">
        <v>18</v>
      </c>
      <c r="F16" s="223">
        <v>10.6</v>
      </c>
      <c r="G16" s="43">
        <f>67/18</f>
        <v>3.7222222222222223</v>
      </c>
      <c r="H16" s="9">
        <f>131/18</f>
        <v>7.2777777777777777</v>
      </c>
      <c r="I16" s="60">
        <v>51.1</v>
      </c>
      <c r="J16" s="225">
        <f>5/18</f>
        <v>0.27777777777777779</v>
      </c>
      <c r="K16" s="9">
        <f>13/18</f>
        <v>0.72222222222222221</v>
      </c>
      <c r="L16" s="60">
        <v>38.5</v>
      </c>
      <c r="M16" s="43">
        <f>41/18</f>
        <v>2.2777777777777777</v>
      </c>
      <c r="N16" s="9">
        <f>80/18</f>
        <v>4.4444444444444446</v>
      </c>
      <c r="O16" s="63">
        <v>51.3</v>
      </c>
      <c r="P16" s="73">
        <v>3.1</v>
      </c>
      <c r="Q16" s="9">
        <v>2.4</v>
      </c>
      <c r="R16" s="70">
        <v>5.6</v>
      </c>
      <c r="S16" s="101">
        <v>1</v>
      </c>
      <c r="T16" s="119">
        <v>0.7</v>
      </c>
      <c r="U16" s="43">
        <v>1.1000000000000001</v>
      </c>
      <c r="V16" s="109">
        <v>0.6</v>
      </c>
      <c r="W16" s="73">
        <v>2.8</v>
      </c>
      <c r="X16" s="105" t="s">
        <v>30</v>
      </c>
      <c r="Y16" s="119" t="s">
        <v>121</v>
      </c>
      <c r="Z16" s="116">
        <v>12.1</v>
      </c>
      <c r="AA16" s="326"/>
    </row>
    <row r="17" spans="1:27" ht="18.75" customHeight="1">
      <c r="A17" s="28">
        <v>11</v>
      </c>
      <c r="B17" s="26" t="s">
        <v>211</v>
      </c>
      <c r="C17" s="219" t="s">
        <v>40</v>
      </c>
      <c r="D17" s="181" t="s">
        <v>29</v>
      </c>
      <c r="E17" s="90">
        <v>25</v>
      </c>
      <c r="F17" s="209">
        <v>7.4</v>
      </c>
      <c r="G17" s="44">
        <f>78/25</f>
        <v>3.12</v>
      </c>
      <c r="H17" s="2">
        <f>119/25</f>
        <v>4.76</v>
      </c>
      <c r="I17" s="61">
        <v>65.5</v>
      </c>
      <c r="J17" s="44">
        <v>0.1</v>
      </c>
      <c r="K17" s="2">
        <v>0.1</v>
      </c>
      <c r="L17" s="188">
        <v>100</v>
      </c>
      <c r="M17" s="44">
        <v>1</v>
      </c>
      <c r="N17" s="2">
        <f>51/25</f>
        <v>2.04</v>
      </c>
      <c r="O17" s="61">
        <v>49</v>
      </c>
      <c r="P17" s="44">
        <v>5.0999999999999996</v>
      </c>
      <c r="Q17" s="1">
        <v>2.5</v>
      </c>
      <c r="R17" s="72">
        <v>7.6</v>
      </c>
      <c r="S17" s="100">
        <v>0.5</v>
      </c>
      <c r="T17" s="159">
        <v>0.5</v>
      </c>
      <c r="U17" s="44">
        <v>1</v>
      </c>
      <c r="V17" s="110">
        <v>0.5</v>
      </c>
      <c r="W17" s="44">
        <v>2.4</v>
      </c>
      <c r="X17" s="106" t="s">
        <v>30</v>
      </c>
      <c r="Y17" s="120" t="s">
        <v>212</v>
      </c>
      <c r="Z17" s="115">
        <v>12.1</v>
      </c>
      <c r="AA17" s="326"/>
    </row>
    <row r="18" spans="1:27" ht="18.75" customHeight="1">
      <c r="A18" s="29">
        <v>12</v>
      </c>
      <c r="B18" s="27" t="s">
        <v>213</v>
      </c>
      <c r="C18" s="220" t="s">
        <v>28</v>
      </c>
      <c r="D18" s="182" t="s">
        <v>47</v>
      </c>
      <c r="E18" s="89">
        <v>21</v>
      </c>
      <c r="F18" s="222">
        <v>9.8000000000000007</v>
      </c>
      <c r="G18" s="43">
        <f>79/21</f>
        <v>3.7619047619047619</v>
      </c>
      <c r="H18" s="9">
        <f>135/21</f>
        <v>6.4285714285714288</v>
      </c>
      <c r="I18" s="60">
        <v>58.5</v>
      </c>
      <c r="J18" s="43">
        <f>7/21</f>
        <v>0.33333333333333331</v>
      </c>
      <c r="K18" s="9">
        <f>28/21</f>
        <v>1.3333333333333333</v>
      </c>
      <c r="L18" s="60">
        <v>25</v>
      </c>
      <c r="M18" s="43">
        <f>26/21</f>
        <v>1.2380952380952381</v>
      </c>
      <c r="N18" s="9">
        <f>50/21</f>
        <v>2.3809523809523809</v>
      </c>
      <c r="O18" s="60">
        <v>52</v>
      </c>
      <c r="P18" s="73">
        <v>3.7</v>
      </c>
      <c r="Q18" s="8">
        <v>1.2</v>
      </c>
      <c r="R18" s="70">
        <v>4.9000000000000004</v>
      </c>
      <c r="S18" s="97">
        <v>1.5</v>
      </c>
      <c r="T18" s="119">
        <v>1.1000000000000001</v>
      </c>
      <c r="U18" s="43">
        <v>0.7</v>
      </c>
      <c r="V18" s="109">
        <v>0.7</v>
      </c>
      <c r="W18" s="73">
        <v>2.2999999999999998</v>
      </c>
      <c r="X18" s="105" t="s">
        <v>30</v>
      </c>
      <c r="Y18" s="119" t="s">
        <v>214</v>
      </c>
      <c r="Z18" s="116">
        <v>11.7</v>
      </c>
      <c r="AA18" s="326"/>
    </row>
    <row r="19" spans="1:27" ht="18.75" customHeight="1">
      <c r="A19" s="125">
        <v>13</v>
      </c>
      <c r="B19" s="26" t="s">
        <v>215</v>
      </c>
      <c r="C19" s="219" t="s">
        <v>28</v>
      </c>
      <c r="D19" s="181" t="s">
        <v>56</v>
      </c>
      <c r="E19" s="90">
        <v>24</v>
      </c>
      <c r="F19" s="209">
        <v>8.3000000000000007</v>
      </c>
      <c r="G19" s="44">
        <f>81/24</f>
        <v>3.375</v>
      </c>
      <c r="H19" s="2">
        <f>149/24</f>
        <v>6.208333333333333</v>
      </c>
      <c r="I19" s="62">
        <v>54.4</v>
      </c>
      <c r="J19" s="186">
        <v>0</v>
      </c>
      <c r="K19" s="2">
        <v>0.1</v>
      </c>
      <c r="L19" s="188">
        <v>0</v>
      </c>
      <c r="M19" s="44">
        <f>38/24</f>
        <v>1.5833333333333333</v>
      </c>
      <c r="N19" s="2">
        <f>57/24</f>
        <v>2.375</v>
      </c>
      <c r="O19" s="62">
        <v>66.7</v>
      </c>
      <c r="P19" s="71">
        <v>4.0999999999999996</v>
      </c>
      <c r="Q19" s="1">
        <v>1.4</v>
      </c>
      <c r="R19" s="72">
        <v>5.5</v>
      </c>
      <c r="S19" s="100">
        <v>1.3</v>
      </c>
      <c r="T19" s="161">
        <v>1</v>
      </c>
      <c r="U19" s="71">
        <v>1.4</v>
      </c>
      <c r="V19" s="110">
        <v>0.6</v>
      </c>
      <c r="W19" s="71">
        <v>3.1</v>
      </c>
      <c r="X19" s="106" t="s">
        <v>30</v>
      </c>
      <c r="Y19" s="120" t="s">
        <v>216</v>
      </c>
      <c r="Z19" s="115">
        <v>10.7</v>
      </c>
      <c r="AA19" s="326"/>
    </row>
    <row r="20" spans="1:27" ht="18.75" customHeight="1">
      <c r="A20" s="124">
        <v>14</v>
      </c>
      <c r="B20" s="27" t="s">
        <v>217</v>
      </c>
      <c r="C20" s="220" t="s">
        <v>40</v>
      </c>
      <c r="D20" s="182" t="s">
        <v>56</v>
      </c>
      <c r="E20" s="89">
        <v>32</v>
      </c>
      <c r="F20" s="222">
        <v>8.9</v>
      </c>
      <c r="G20" s="43">
        <f>94/32</f>
        <v>2.9375</v>
      </c>
      <c r="H20" s="9">
        <f>165/32</f>
        <v>5.15625</v>
      </c>
      <c r="I20" s="60">
        <v>57</v>
      </c>
      <c r="J20" s="43">
        <f>19/32</f>
        <v>0.59375</v>
      </c>
      <c r="K20" s="9">
        <f>60/32</f>
        <v>1.875</v>
      </c>
      <c r="L20" s="60">
        <v>31.7</v>
      </c>
      <c r="M20" s="43">
        <f>41/32</f>
        <v>1.28125</v>
      </c>
      <c r="N20" s="9">
        <f>63/32</f>
        <v>1.96875</v>
      </c>
      <c r="O20" s="60">
        <v>65.099999999999994</v>
      </c>
      <c r="P20" s="43">
        <v>4</v>
      </c>
      <c r="Q20" s="8">
        <v>1.3</v>
      </c>
      <c r="R20" s="70">
        <v>5.4</v>
      </c>
      <c r="S20" s="97">
        <v>1.7</v>
      </c>
      <c r="T20" s="119">
        <v>0.6</v>
      </c>
      <c r="U20" s="73">
        <v>2.1</v>
      </c>
      <c r="V20" s="109">
        <v>0.6</v>
      </c>
      <c r="W20" s="73">
        <v>2.5</v>
      </c>
      <c r="X20" s="105" t="s">
        <v>30</v>
      </c>
      <c r="Y20" s="119" t="s">
        <v>218</v>
      </c>
      <c r="Z20" s="113">
        <v>10.3</v>
      </c>
      <c r="AA20" s="326"/>
    </row>
    <row r="21" spans="1:27" ht="18.75" customHeight="1">
      <c r="A21" s="125">
        <v>15</v>
      </c>
      <c r="B21" s="26" t="s">
        <v>219</v>
      </c>
      <c r="C21" s="219" t="s">
        <v>40</v>
      </c>
      <c r="D21" s="181" t="s">
        <v>66</v>
      </c>
      <c r="E21" s="90">
        <v>35</v>
      </c>
      <c r="F21" s="209">
        <v>3.6</v>
      </c>
      <c r="G21" s="44">
        <f>54/35</f>
        <v>1.5428571428571429</v>
      </c>
      <c r="H21" s="2">
        <f>141/35</f>
        <v>4.0285714285714285</v>
      </c>
      <c r="I21" s="62">
        <v>38.299999999999997</v>
      </c>
      <c r="J21" s="186">
        <v>0</v>
      </c>
      <c r="K21" s="2">
        <f>6/35</f>
        <v>0.17142857142857143</v>
      </c>
      <c r="L21" s="62">
        <v>0</v>
      </c>
      <c r="M21" s="44">
        <f>18/35</f>
        <v>0.51428571428571423</v>
      </c>
      <c r="N21" s="2">
        <f>28/35</f>
        <v>0.8</v>
      </c>
      <c r="O21" s="62">
        <v>64.3</v>
      </c>
      <c r="P21" s="71">
        <v>5.0999999999999996</v>
      </c>
      <c r="Q21" s="1">
        <v>3.8</v>
      </c>
      <c r="R21" s="75">
        <v>8.9</v>
      </c>
      <c r="S21" s="100">
        <v>0.7</v>
      </c>
      <c r="T21" s="120">
        <v>0.7</v>
      </c>
      <c r="U21" s="71">
        <v>1.1000000000000001</v>
      </c>
      <c r="V21" s="110">
        <v>1.1000000000000001</v>
      </c>
      <c r="W21" s="71">
        <v>3.1</v>
      </c>
      <c r="X21" s="106" t="s">
        <v>30</v>
      </c>
      <c r="Y21" s="204" t="s">
        <v>181</v>
      </c>
      <c r="Z21" s="115">
        <v>9.1</v>
      </c>
      <c r="AA21" s="326"/>
    </row>
    <row r="22" spans="1:27" ht="18.75" customHeight="1">
      <c r="A22" s="124">
        <v>16</v>
      </c>
      <c r="B22" s="27" t="s">
        <v>220</v>
      </c>
      <c r="C22" s="220" t="s">
        <v>40</v>
      </c>
      <c r="D22" s="182" t="s">
        <v>38</v>
      </c>
      <c r="E22" s="89">
        <v>18</v>
      </c>
      <c r="F22" s="222">
        <v>6.7</v>
      </c>
      <c r="G22" s="43">
        <f>41/18</f>
        <v>2.2777777777777777</v>
      </c>
      <c r="H22" s="9">
        <f>78/18</f>
        <v>4.333333333333333</v>
      </c>
      <c r="I22" s="63">
        <v>52.6</v>
      </c>
      <c r="J22" s="225">
        <v>0</v>
      </c>
      <c r="K22" s="10">
        <v>0</v>
      </c>
      <c r="L22" s="78">
        <v>0</v>
      </c>
      <c r="M22" s="43">
        <f>38/18</f>
        <v>2.1111111111111112</v>
      </c>
      <c r="N22" s="9">
        <f>70/18</f>
        <v>3.8888888888888888</v>
      </c>
      <c r="O22" s="63">
        <v>54.3</v>
      </c>
      <c r="P22" s="73">
        <v>2.9</v>
      </c>
      <c r="Q22" s="8">
        <v>2.1</v>
      </c>
      <c r="R22" s="70">
        <v>4.9000000000000004</v>
      </c>
      <c r="S22" s="97">
        <v>0.8</v>
      </c>
      <c r="T22" s="119">
        <v>0.1</v>
      </c>
      <c r="U22" s="73">
        <v>1.3</v>
      </c>
      <c r="V22" s="109">
        <v>0.5</v>
      </c>
      <c r="W22" s="73">
        <v>2.7</v>
      </c>
      <c r="X22" s="105" t="s">
        <v>30</v>
      </c>
      <c r="Y22" s="119">
        <v>19.3</v>
      </c>
      <c r="Z22" s="113">
        <v>8.1</v>
      </c>
      <c r="AA22" s="326"/>
    </row>
    <row r="23" spans="1:27" ht="18.75" customHeight="1">
      <c r="A23" s="125">
        <v>17</v>
      </c>
      <c r="B23" s="26" t="s">
        <v>221</v>
      </c>
      <c r="C23" s="219" t="s">
        <v>40</v>
      </c>
      <c r="D23" s="181" t="s">
        <v>53</v>
      </c>
      <c r="E23" s="90">
        <v>27</v>
      </c>
      <c r="F23" s="207">
        <v>6.3</v>
      </c>
      <c r="G23" s="44">
        <f>70/27</f>
        <v>2.5925925925925926</v>
      </c>
      <c r="H23" s="2">
        <f>116/27</f>
        <v>4.2962962962962967</v>
      </c>
      <c r="I23" s="61">
        <v>60.3</v>
      </c>
      <c r="J23" s="186">
        <v>0</v>
      </c>
      <c r="K23" s="3">
        <v>0</v>
      </c>
      <c r="L23" s="188">
        <v>0</v>
      </c>
      <c r="M23" s="44">
        <f>30/27</f>
        <v>1.1111111111111112</v>
      </c>
      <c r="N23" s="2">
        <f>53/27</f>
        <v>1.962962962962963</v>
      </c>
      <c r="O23" s="62">
        <v>56.6</v>
      </c>
      <c r="P23" s="71">
        <v>2.9</v>
      </c>
      <c r="Q23" s="2">
        <v>2</v>
      </c>
      <c r="R23" s="72">
        <v>4.9000000000000004</v>
      </c>
      <c r="S23" s="100">
        <v>0.3</v>
      </c>
      <c r="T23" s="120">
        <v>0.6</v>
      </c>
      <c r="U23" s="44">
        <v>1</v>
      </c>
      <c r="V23" s="110">
        <v>0.5</v>
      </c>
      <c r="W23" s="71">
        <v>2.5</v>
      </c>
      <c r="X23" s="106" t="s">
        <v>30</v>
      </c>
      <c r="Y23" s="120" t="s">
        <v>222</v>
      </c>
      <c r="Z23" s="114">
        <v>8.1</v>
      </c>
      <c r="AA23" s="326"/>
    </row>
    <row r="24" spans="1:27" ht="18.75" customHeight="1">
      <c r="A24" s="124">
        <v>18</v>
      </c>
      <c r="B24" s="27" t="s">
        <v>223</v>
      </c>
      <c r="C24" s="220" t="s">
        <v>28</v>
      </c>
      <c r="D24" s="182" t="s">
        <v>89</v>
      </c>
      <c r="E24" s="89">
        <v>25</v>
      </c>
      <c r="F24" s="222">
        <v>8.4</v>
      </c>
      <c r="G24" s="43">
        <f>41/25</f>
        <v>1.64</v>
      </c>
      <c r="H24" s="9">
        <f>89/25</f>
        <v>3.56</v>
      </c>
      <c r="I24" s="60">
        <v>46.1</v>
      </c>
      <c r="J24" s="43">
        <f>28/25</f>
        <v>1.1200000000000001</v>
      </c>
      <c r="K24" s="9">
        <f>112/25</f>
        <v>4.4800000000000004</v>
      </c>
      <c r="L24" s="60">
        <v>25</v>
      </c>
      <c r="M24" s="43">
        <f>43/25</f>
        <v>1.72</v>
      </c>
      <c r="N24" s="9">
        <f>60/25</f>
        <v>2.4</v>
      </c>
      <c r="O24" s="60">
        <v>71.7</v>
      </c>
      <c r="P24" s="73">
        <v>3.7</v>
      </c>
      <c r="Q24" s="9">
        <v>1.4</v>
      </c>
      <c r="R24" s="70">
        <v>5.0999999999999996</v>
      </c>
      <c r="S24" s="97">
        <v>0.7</v>
      </c>
      <c r="T24" s="119">
        <v>0.6</v>
      </c>
      <c r="U24" s="73">
        <v>1.3</v>
      </c>
      <c r="V24" s="109">
        <v>0.6</v>
      </c>
      <c r="W24" s="43">
        <v>2</v>
      </c>
      <c r="X24" s="105" t="s">
        <v>30</v>
      </c>
      <c r="Y24" s="119" t="s">
        <v>82</v>
      </c>
      <c r="Z24" s="113">
        <v>7.6</v>
      </c>
      <c r="AA24" s="326"/>
    </row>
    <row r="25" spans="1:27" ht="18.75" customHeight="1">
      <c r="A25" s="125">
        <v>19</v>
      </c>
      <c r="B25" s="26" t="s">
        <v>224</v>
      </c>
      <c r="C25" s="219" t="s">
        <v>28</v>
      </c>
      <c r="D25" s="181" t="s">
        <v>50</v>
      </c>
      <c r="E25" s="90">
        <v>15</v>
      </c>
      <c r="F25" s="209">
        <v>6.7</v>
      </c>
      <c r="G25" s="44">
        <f>35/15</f>
        <v>2.3333333333333335</v>
      </c>
      <c r="H25" s="2">
        <f>70/15</f>
        <v>4.666666666666667</v>
      </c>
      <c r="I25" s="61">
        <v>50</v>
      </c>
      <c r="J25" s="186">
        <v>0</v>
      </c>
      <c r="K25" s="3">
        <v>0</v>
      </c>
      <c r="L25" s="62">
        <v>0</v>
      </c>
      <c r="M25" s="44">
        <f>31/15</f>
        <v>2.0666666666666669</v>
      </c>
      <c r="N25" s="2">
        <f>51/15</f>
        <v>3.4</v>
      </c>
      <c r="O25" s="62">
        <v>60.8</v>
      </c>
      <c r="P25" s="71">
        <v>1.5</v>
      </c>
      <c r="Q25" s="1">
        <v>0.8</v>
      </c>
      <c r="R25" s="75">
        <v>2.2999999999999998</v>
      </c>
      <c r="S25" s="100">
        <v>0.1</v>
      </c>
      <c r="T25" s="120">
        <v>0.9</v>
      </c>
      <c r="U25" s="71">
        <v>1.1000000000000001</v>
      </c>
      <c r="V25" s="110">
        <v>0.2</v>
      </c>
      <c r="W25" s="71">
        <v>1.5</v>
      </c>
      <c r="X25" s="106" t="s">
        <v>30</v>
      </c>
      <c r="Y25" s="122" t="s">
        <v>225</v>
      </c>
      <c r="Z25" s="115">
        <v>6.3</v>
      </c>
      <c r="AA25" s="326"/>
    </row>
    <row r="26" spans="1:27" ht="18.75" customHeight="1">
      <c r="A26" s="31">
        <v>20</v>
      </c>
      <c r="B26" s="218" t="s">
        <v>226</v>
      </c>
      <c r="C26" s="221" t="s">
        <v>40</v>
      </c>
      <c r="D26" s="183" t="s">
        <v>56</v>
      </c>
      <c r="E26" s="195">
        <v>31</v>
      </c>
      <c r="F26" s="224">
        <v>2</v>
      </c>
      <c r="G26" s="184">
        <f>24/31</f>
        <v>0.77419354838709675</v>
      </c>
      <c r="H26" s="185">
        <f>56/31</f>
        <v>1.8064516129032258</v>
      </c>
      <c r="I26" s="227">
        <v>42.9</v>
      </c>
      <c r="J26" s="226">
        <v>0</v>
      </c>
      <c r="K26" s="185">
        <f>2/31</f>
        <v>6.4516129032258063E-2</v>
      </c>
      <c r="L26" s="228">
        <v>0</v>
      </c>
      <c r="M26" s="184">
        <f>13/31</f>
        <v>0.41935483870967744</v>
      </c>
      <c r="N26" s="185">
        <f>28/31</f>
        <v>0.90322580645161288</v>
      </c>
      <c r="O26" s="227">
        <v>46.4</v>
      </c>
      <c r="P26" s="184">
        <v>3</v>
      </c>
      <c r="Q26" s="190">
        <v>1.7</v>
      </c>
      <c r="R26" s="229">
        <v>4.7</v>
      </c>
      <c r="S26" s="199">
        <v>0.5</v>
      </c>
      <c r="T26" s="119">
        <v>1.1000000000000001</v>
      </c>
      <c r="U26" s="184">
        <v>0.5</v>
      </c>
      <c r="V26" s="230">
        <v>0.1</v>
      </c>
      <c r="W26" s="184">
        <v>2</v>
      </c>
      <c r="X26" s="231" t="s">
        <v>30</v>
      </c>
      <c r="Y26" s="119">
        <v>13.1</v>
      </c>
      <c r="Z26" s="202">
        <v>5.2</v>
      </c>
      <c r="AA26" s="326"/>
    </row>
    <row r="27" spans="1:27" ht="18.75" customHeight="1">
      <c r="A27" s="316"/>
      <c r="B27" s="317"/>
      <c r="C27" s="317"/>
      <c r="D27" s="317"/>
      <c r="E27" s="317"/>
      <c r="F27" s="317"/>
      <c r="G27" s="317"/>
      <c r="H27" s="317"/>
      <c r="I27" s="317"/>
      <c r="J27" s="317"/>
      <c r="K27" s="317"/>
      <c r="L27" s="317"/>
      <c r="M27" s="317"/>
      <c r="N27" s="317"/>
      <c r="O27" s="317"/>
      <c r="P27" s="317"/>
      <c r="Q27" s="317"/>
      <c r="R27" s="317"/>
      <c r="S27" s="317"/>
      <c r="T27" s="317"/>
      <c r="U27" s="317"/>
      <c r="V27" s="317"/>
      <c r="W27" s="317"/>
      <c r="X27" s="317"/>
      <c r="Y27" s="317"/>
      <c r="Z27" s="317"/>
      <c r="AA27" s="318"/>
    </row>
    <row r="28" spans="1:27" ht="18.75" customHeight="1"/>
  </sheetData>
  <mergeCells count="19">
    <mergeCell ref="U5:V5"/>
    <mergeCell ref="AA1:AA26"/>
    <mergeCell ref="A27:AA27"/>
    <mergeCell ref="W5:X5"/>
    <mergeCell ref="A1:Z3"/>
    <mergeCell ref="A4:Z4"/>
    <mergeCell ref="C5:C6"/>
    <mergeCell ref="D5:D6"/>
    <mergeCell ref="E5:E6"/>
    <mergeCell ref="F5:F6"/>
    <mergeCell ref="G5:I5"/>
    <mergeCell ref="J5:L5"/>
    <mergeCell ref="Y5:Y6"/>
    <mergeCell ref="Z5:Z6"/>
    <mergeCell ref="M5:O5"/>
    <mergeCell ref="P5:R5"/>
    <mergeCell ref="A5:B6"/>
    <mergeCell ref="S5:S6"/>
    <mergeCell ref="T5:T6"/>
  </mergeCells>
  <pageMargins left="0.25" right="0.25" top="0.75" bottom="0.75" header="0.3" footer="0.3"/>
  <pageSetup paperSize="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64357-9659-4AD7-8FD5-4BEDCD26CA36}">
  <dimension ref="A1:AB36"/>
  <sheetViews>
    <sheetView tabSelected="1" zoomScale="106" zoomScaleNormal="106" workbookViewId="0">
      <selection activeCell="C12" sqref="C12"/>
    </sheetView>
  </sheetViews>
  <sheetFormatPr defaultColWidth="9.140625" defaultRowHeight="15"/>
  <cols>
    <col min="1" max="1" width="3.7109375" customWidth="1"/>
    <col min="2" max="2" width="22.85546875" customWidth="1"/>
    <col min="3" max="3" width="5.5703125" customWidth="1"/>
    <col min="4" max="4" width="11" customWidth="1"/>
    <col min="5" max="5" width="9.42578125" customWidth="1"/>
    <col min="6" max="6" width="4.7109375" customWidth="1"/>
    <col min="7" max="7" width="6.140625" customWidth="1"/>
    <col min="8" max="8" width="4.85546875" customWidth="1"/>
    <col min="9" max="9" width="4.5703125" customWidth="1"/>
    <col min="10" max="10" width="5.7109375" customWidth="1"/>
    <col min="11" max="11" width="4.85546875" customWidth="1"/>
    <col min="12" max="12" width="4.7109375" customWidth="1"/>
    <col min="13" max="13" width="5.7109375" customWidth="1"/>
    <col min="14" max="15" width="4.85546875" customWidth="1"/>
    <col min="16" max="16" width="5.5703125" customWidth="1"/>
    <col min="17" max="19" width="4.7109375" customWidth="1"/>
    <col min="20" max="20" width="4.85546875" customWidth="1"/>
    <col min="21" max="21" width="5.5703125" customWidth="1"/>
    <col min="22" max="22" width="4.7109375" customWidth="1"/>
    <col min="23" max="25" width="4.85546875" customWidth="1"/>
    <col min="26" max="27" width="5.28515625" customWidth="1"/>
    <col min="28" max="28" width="4.85546875" customWidth="1"/>
    <col min="29" max="254" width="11.42578125" customWidth="1"/>
  </cols>
  <sheetData>
    <row r="1" spans="1:28" ht="12" customHeight="1">
      <c r="A1" s="289" t="s">
        <v>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14"/>
      <c r="AB1" s="325"/>
    </row>
    <row r="2" spans="1:28" ht="12" customHeight="1">
      <c r="A2" s="291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15"/>
      <c r="AB2" s="326"/>
    </row>
    <row r="3" spans="1:28" ht="12" customHeight="1">
      <c r="A3" s="291"/>
      <c r="B3" s="292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15"/>
      <c r="AB3" s="326"/>
    </row>
    <row r="4" spans="1:28" ht="24" customHeight="1">
      <c r="A4" s="327" t="s">
        <v>227</v>
      </c>
      <c r="B4" s="328"/>
      <c r="C4" s="328"/>
      <c r="D4" s="328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16"/>
      <c r="AB4" s="326"/>
    </row>
    <row r="5" spans="1:28" ht="15.75" customHeight="1">
      <c r="A5" s="312" t="s">
        <v>2</v>
      </c>
      <c r="B5" s="313"/>
      <c r="C5" s="310" t="s">
        <v>3</v>
      </c>
      <c r="D5" s="334" t="s">
        <v>4</v>
      </c>
      <c r="E5" s="247" t="s">
        <v>228</v>
      </c>
      <c r="F5" s="344" t="s">
        <v>5</v>
      </c>
      <c r="G5" s="344" t="s">
        <v>6</v>
      </c>
      <c r="H5" s="301" t="s">
        <v>7</v>
      </c>
      <c r="I5" s="302"/>
      <c r="J5" s="303"/>
      <c r="K5" s="301" t="s">
        <v>8</v>
      </c>
      <c r="L5" s="302"/>
      <c r="M5" s="303"/>
      <c r="N5" s="301" t="s">
        <v>9</v>
      </c>
      <c r="O5" s="302"/>
      <c r="P5" s="303"/>
      <c r="Q5" s="295" t="s">
        <v>10</v>
      </c>
      <c r="R5" s="304"/>
      <c r="S5" s="296"/>
      <c r="T5" s="310" t="s">
        <v>11</v>
      </c>
      <c r="U5" s="299" t="s">
        <v>12</v>
      </c>
      <c r="V5" s="307" t="s">
        <v>13</v>
      </c>
      <c r="W5" s="303"/>
      <c r="X5" s="295" t="s">
        <v>14</v>
      </c>
      <c r="Y5" s="296"/>
      <c r="Z5" s="297" t="s">
        <v>15</v>
      </c>
      <c r="AA5" s="299" t="s">
        <v>16</v>
      </c>
      <c r="AB5" s="326"/>
    </row>
    <row r="6" spans="1:28" ht="18" customHeight="1">
      <c r="A6" s="314"/>
      <c r="B6" s="315"/>
      <c r="C6" s="311"/>
      <c r="D6" s="335"/>
      <c r="E6" s="248" t="s">
        <v>229</v>
      </c>
      <c r="F6" s="345"/>
      <c r="G6" s="345"/>
      <c r="H6" s="17" t="s">
        <v>17</v>
      </c>
      <c r="I6" s="18" t="s">
        <v>18</v>
      </c>
      <c r="J6" s="21" t="s">
        <v>19</v>
      </c>
      <c r="K6" s="17" t="s">
        <v>17</v>
      </c>
      <c r="L6" s="18" t="s">
        <v>18</v>
      </c>
      <c r="M6" s="21" t="s">
        <v>19</v>
      </c>
      <c r="N6" s="17" t="s">
        <v>17</v>
      </c>
      <c r="O6" s="18" t="s">
        <v>18</v>
      </c>
      <c r="P6" s="21" t="s">
        <v>19</v>
      </c>
      <c r="Q6" s="68" t="s">
        <v>20</v>
      </c>
      <c r="R6" s="22" t="s">
        <v>21</v>
      </c>
      <c r="S6" s="69" t="s">
        <v>22</v>
      </c>
      <c r="T6" s="311"/>
      <c r="U6" s="300"/>
      <c r="V6" s="20" t="s">
        <v>23</v>
      </c>
      <c r="W6" s="21" t="s">
        <v>24</v>
      </c>
      <c r="X6" s="68" t="s">
        <v>25</v>
      </c>
      <c r="Y6" s="69" t="s">
        <v>26</v>
      </c>
      <c r="Z6" s="298"/>
      <c r="AA6" s="300"/>
      <c r="AB6" s="326"/>
    </row>
    <row r="7" spans="1:28" ht="18.75" customHeight="1">
      <c r="A7" s="232">
        <v>1</v>
      </c>
      <c r="B7" s="25" t="s">
        <v>61</v>
      </c>
      <c r="C7" s="239" t="s">
        <v>62</v>
      </c>
      <c r="D7" s="241" t="s">
        <v>63</v>
      </c>
      <c r="E7" s="249">
        <v>2004</v>
      </c>
      <c r="F7" s="88">
        <v>22</v>
      </c>
      <c r="G7" s="266">
        <v>15.1</v>
      </c>
      <c r="H7" s="42">
        <f>104/22</f>
        <v>4.7272727272727275</v>
      </c>
      <c r="I7" s="24">
        <f>217/22</f>
        <v>9.8636363636363633</v>
      </c>
      <c r="J7" s="273">
        <v>47.9</v>
      </c>
      <c r="K7" s="42">
        <f>21/22</f>
        <v>0.95454545454545459</v>
      </c>
      <c r="L7" s="24">
        <f>74/22</f>
        <v>3.3636363636363638</v>
      </c>
      <c r="M7" s="273">
        <v>28.4</v>
      </c>
      <c r="N7" s="42">
        <f>61/22</f>
        <v>2.7727272727272729</v>
      </c>
      <c r="O7" s="24">
        <f>89/22</f>
        <v>4.0454545454545459</v>
      </c>
      <c r="P7" s="273">
        <v>68.5</v>
      </c>
      <c r="Q7" s="42">
        <v>1.8</v>
      </c>
      <c r="R7" s="23">
        <v>1.5</v>
      </c>
      <c r="S7" s="260">
        <v>3.3</v>
      </c>
      <c r="T7" s="118">
        <v>2.7</v>
      </c>
      <c r="U7" s="282">
        <v>0</v>
      </c>
      <c r="V7" s="55">
        <v>2.9</v>
      </c>
      <c r="W7" s="285">
        <v>2.5</v>
      </c>
      <c r="X7" s="42">
        <v>1.6</v>
      </c>
      <c r="Y7" s="104" t="s">
        <v>30</v>
      </c>
      <c r="Z7" s="118" t="s">
        <v>64</v>
      </c>
      <c r="AA7" s="253">
        <v>12.8</v>
      </c>
      <c r="AB7" s="326"/>
    </row>
    <row r="8" spans="1:28" ht="18.75" customHeight="1">
      <c r="A8" s="233">
        <v>2</v>
      </c>
      <c r="B8" s="27" t="s">
        <v>230</v>
      </c>
      <c r="C8" s="220" t="s">
        <v>116</v>
      </c>
      <c r="D8" s="242" t="s">
        <v>35</v>
      </c>
      <c r="E8" s="250">
        <v>2001</v>
      </c>
      <c r="F8" s="89">
        <v>17</v>
      </c>
      <c r="G8" s="267">
        <v>9.6</v>
      </c>
      <c r="H8" s="43">
        <f>58/17</f>
        <v>3.4117647058823528</v>
      </c>
      <c r="I8" s="9">
        <f>88/17</f>
        <v>5.1764705882352944</v>
      </c>
      <c r="J8" s="274">
        <v>65.8</v>
      </c>
      <c r="K8" s="43">
        <f>12/17</f>
        <v>0.70588235294117652</v>
      </c>
      <c r="L8" s="9">
        <f>38/17</f>
        <v>2.2352941176470589</v>
      </c>
      <c r="M8" s="276">
        <v>31.6</v>
      </c>
      <c r="N8" s="66">
        <f>12/17</f>
        <v>0.70588235294117652</v>
      </c>
      <c r="O8" s="9">
        <v>1</v>
      </c>
      <c r="P8" s="276">
        <v>70.599999999999994</v>
      </c>
      <c r="Q8" s="73">
        <v>1.7</v>
      </c>
      <c r="R8" s="9">
        <v>0.9</v>
      </c>
      <c r="S8" s="262">
        <v>2.6</v>
      </c>
      <c r="T8" s="196">
        <v>3.1</v>
      </c>
      <c r="U8" s="35">
        <v>0.1</v>
      </c>
      <c r="V8" s="32">
        <v>1.9</v>
      </c>
      <c r="W8" s="109">
        <v>1.3</v>
      </c>
      <c r="X8" s="43">
        <v>2.6</v>
      </c>
      <c r="Y8" s="105" t="s">
        <v>30</v>
      </c>
      <c r="Z8" s="119" t="s">
        <v>75</v>
      </c>
      <c r="AA8" s="254">
        <v>10</v>
      </c>
      <c r="AB8" s="326"/>
    </row>
    <row r="9" spans="1:28" ht="18.75" customHeight="1">
      <c r="A9" s="234">
        <v>3</v>
      </c>
      <c r="B9" s="26" t="s">
        <v>185</v>
      </c>
      <c r="C9" s="219" t="s">
        <v>116</v>
      </c>
      <c r="D9" s="243" t="s">
        <v>59</v>
      </c>
      <c r="E9" s="251">
        <v>2000</v>
      </c>
      <c r="F9" s="90">
        <v>23</v>
      </c>
      <c r="G9" s="268">
        <v>9.6999999999999993</v>
      </c>
      <c r="H9" s="44">
        <f>52/23</f>
        <v>2.2608695652173911</v>
      </c>
      <c r="I9" s="2">
        <f>109/23</f>
        <v>4.7391304347826084</v>
      </c>
      <c r="J9" s="275">
        <v>47.7</v>
      </c>
      <c r="K9" s="44">
        <f>28/23</f>
        <v>1.2173913043478262</v>
      </c>
      <c r="L9" s="2">
        <f>85/23</f>
        <v>3.6956521739130435</v>
      </c>
      <c r="M9" s="277">
        <v>32.9</v>
      </c>
      <c r="N9" s="44">
        <f>35/23</f>
        <v>1.5217391304347827</v>
      </c>
      <c r="O9" s="2">
        <f>52/23</f>
        <v>2.2608695652173911</v>
      </c>
      <c r="P9" s="277">
        <v>67.3</v>
      </c>
      <c r="Q9" s="71">
        <v>3.8</v>
      </c>
      <c r="R9" s="1">
        <v>0.9</v>
      </c>
      <c r="S9" s="263">
        <v>4.7</v>
      </c>
      <c r="T9" s="120">
        <v>1.3</v>
      </c>
      <c r="U9" s="36">
        <v>0.4</v>
      </c>
      <c r="V9" s="33">
        <v>2.1</v>
      </c>
      <c r="W9" s="110">
        <v>1.2</v>
      </c>
      <c r="X9" s="71">
        <v>1.3</v>
      </c>
      <c r="Y9" s="106" t="s">
        <v>30</v>
      </c>
      <c r="Z9" s="120" t="s">
        <v>186</v>
      </c>
      <c r="AA9" s="257">
        <v>9.9</v>
      </c>
      <c r="AB9" s="326"/>
    </row>
    <row r="10" spans="1:28" ht="18.75" customHeight="1">
      <c r="A10" s="233">
        <v>5</v>
      </c>
      <c r="B10" s="27" t="s">
        <v>158</v>
      </c>
      <c r="C10" s="220" t="s">
        <v>116</v>
      </c>
      <c r="D10" s="242" t="s">
        <v>89</v>
      </c>
      <c r="E10" s="250">
        <v>2000</v>
      </c>
      <c r="F10" s="89">
        <v>28</v>
      </c>
      <c r="G10" s="269">
        <v>6.6</v>
      </c>
      <c r="H10" s="43">
        <f>50/28</f>
        <v>1.7857142857142858</v>
      </c>
      <c r="I10" s="9">
        <f>93/28</f>
        <v>3.3214285714285716</v>
      </c>
      <c r="J10" s="276">
        <v>53.8</v>
      </c>
      <c r="K10" s="43">
        <f>11/28</f>
        <v>0.39285714285714285</v>
      </c>
      <c r="L10" s="9">
        <f>55/28</f>
        <v>1.9642857142857142</v>
      </c>
      <c r="M10" s="276">
        <v>20</v>
      </c>
      <c r="N10" s="43">
        <f>53/28</f>
        <v>1.8928571428571428</v>
      </c>
      <c r="O10" s="9">
        <f>77/28</f>
        <v>2.75</v>
      </c>
      <c r="P10" s="276">
        <v>68.8</v>
      </c>
      <c r="Q10" s="73">
        <v>2.1</v>
      </c>
      <c r="R10" s="9">
        <v>1</v>
      </c>
      <c r="S10" s="262">
        <v>3.1</v>
      </c>
      <c r="T10" s="196">
        <v>1</v>
      </c>
      <c r="U10" s="35">
        <v>0.3</v>
      </c>
      <c r="V10" s="56">
        <v>1.3</v>
      </c>
      <c r="W10" s="109">
        <v>0.8</v>
      </c>
      <c r="X10" s="73">
        <v>1.7</v>
      </c>
      <c r="Y10" s="105" t="s">
        <v>30</v>
      </c>
      <c r="Z10" s="119" t="s">
        <v>103</v>
      </c>
      <c r="AA10" s="254">
        <v>6</v>
      </c>
      <c r="AB10" s="326"/>
    </row>
    <row r="11" spans="1:28" ht="18.75" customHeight="1">
      <c r="A11" s="234">
        <v>6</v>
      </c>
      <c r="B11" s="26" t="s">
        <v>231</v>
      </c>
      <c r="C11" s="219" t="s">
        <v>116</v>
      </c>
      <c r="D11" s="243" t="s">
        <v>29</v>
      </c>
      <c r="E11" s="251">
        <v>2000</v>
      </c>
      <c r="F11" s="90">
        <v>25</v>
      </c>
      <c r="G11" s="268">
        <v>6.8</v>
      </c>
      <c r="H11" s="44">
        <f>41/25</f>
        <v>1.64</v>
      </c>
      <c r="I11" s="2">
        <f>88/25</f>
        <v>3.52</v>
      </c>
      <c r="J11" s="275">
        <v>46.6</v>
      </c>
      <c r="K11" s="44">
        <f>21/25</f>
        <v>0.84</v>
      </c>
      <c r="L11" s="2">
        <f>81/25</f>
        <v>3.24</v>
      </c>
      <c r="M11" s="277">
        <v>25.9</v>
      </c>
      <c r="N11" s="44">
        <f>26/25</f>
        <v>1.04</v>
      </c>
      <c r="O11" s="2">
        <f>37/25</f>
        <v>1.48</v>
      </c>
      <c r="P11" s="277">
        <v>70.3</v>
      </c>
      <c r="Q11" s="44">
        <v>1.9</v>
      </c>
      <c r="R11" s="1">
        <v>0.6</v>
      </c>
      <c r="S11" s="263">
        <v>2.4</v>
      </c>
      <c r="T11" s="120">
        <v>1.2</v>
      </c>
      <c r="U11" s="95">
        <v>0.4</v>
      </c>
      <c r="V11" s="33">
        <v>1.4</v>
      </c>
      <c r="W11" s="156">
        <v>1</v>
      </c>
      <c r="X11" s="71">
        <v>1.7</v>
      </c>
      <c r="Y11" s="106" t="s">
        <v>30</v>
      </c>
      <c r="Z11" s="120" t="s">
        <v>232</v>
      </c>
      <c r="AA11" s="255">
        <v>5.2</v>
      </c>
      <c r="AB11" s="326"/>
    </row>
    <row r="12" spans="1:28" ht="18.75" customHeight="1">
      <c r="A12" s="233">
        <v>7</v>
      </c>
      <c r="B12" s="27" t="s">
        <v>233</v>
      </c>
      <c r="C12" s="220" t="s">
        <v>116</v>
      </c>
      <c r="D12" s="244" t="s">
        <v>47</v>
      </c>
      <c r="E12" s="250">
        <v>2001</v>
      </c>
      <c r="F12" s="89">
        <v>21</v>
      </c>
      <c r="G12" s="269">
        <v>6.6</v>
      </c>
      <c r="H12" s="43">
        <f>37/21</f>
        <v>1.7619047619047619</v>
      </c>
      <c r="I12" s="9">
        <f>72/21</f>
        <v>3.4285714285714284</v>
      </c>
      <c r="J12" s="274">
        <v>51.4</v>
      </c>
      <c r="K12" s="43">
        <f>16/21</f>
        <v>0.76190476190476186</v>
      </c>
      <c r="L12" s="9">
        <f>60/21</f>
        <v>2.8571428571428572</v>
      </c>
      <c r="M12" s="276">
        <v>26.7</v>
      </c>
      <c r="N12" s="43">
        <f>17/21</f>
        <v>0.80952380952380953</v>
      </c>
      <c r="O12" s="9">
        <f>29/21</f>
        <v>1.3809523809523809</v>
      </c>
      <c r="P12" s="276">
        <v>58.6</v>
      </c>
      <c r="Q12" s="73">
        <v>1.5</v>
      </c>
      <c r="R12" s="9">
        <v>0.8</v>
      </c>
      <c r="S12" s="262">
        <v>2.2999999999999998</v>
      </c>
      <c r="T12" s="196">
        <v>0.5</v>
      </c>
      <c r="U12" s="35">
        <v>0.4</v>
      </c>
      <c r="V12" s="32">
        <v>0.7</v>
      </c>
      <c r="W12" s="109">
        <v>1.5</v>
      </c>
      <c r="X12" s="43">
        <v>2</v>
      </c>
      <c r="Y12" s="105" t="s">
        <v>30</v>
      </c>
      <c r="Z12" s="119" t="s">
        <v>234</v>
      </c>
      <c r="AA12" s="256">
        <v>5.2</v>
      </c>
      <c r="AB12" s="326"/>
    </row>
    <row r="13" spans="1:28" ht="18.75" customHeight="1">
      <c r="A13" s="234">
        <v>8</v>
      </c>
      <c r="B13" s="26" t="s">
        <v>235</v>
      </c>
      <c r="C13" s="219" t="s">
        <v>116</v>
      </c>
      <c r="D13" s="243" t="s">
        <v>35</v>
      </c>
      <c r="E13" s="251">
        <v>2001</v>
      </c>
      <c r="F13" s="90">
        <v>21</v>
      </c>
      <c r="G13" s="268">
        <v>5</v>
      </c>
      <c r="H13" s="44">
        <f>22/21</f>
        <v>1.0476190476190477</v>
      </c>
      <c r="I13" s="2">
        <f>34/21</f>
        <v>1.6190476190476191</v>
      </c>
      <c r="J13" s="277">
        <v>64.7</v>
      </c>
      <c r="K13" s="44">
        <f>18/21</f>
        <v>0.8571428571428571</v>
      </c>
      <c r="L13" s="2">
        <f>54/21</f>
        <v>2.5714285714285716</v>
      </c>
      <c r="M13" s="277">
        <v>33.299999999999997</v>
      </c>
      <c r="N13" s="44">
        <f>8/21</f>
        <v>0.38095238095238093</v>
      </c>
      <c r="O13" s="2">
        <f>9/21</f>
        <v>0.42857142857142855</v>
      </c>
      <c r="P13" s="277">
        <v>88.9</v>
      </c>
      <c r="Q13" s="44">
        <v>1.7</v>
      </c>
      <c r="R13" s="4">
        <v>0.5</v>
      </c>
      <c r="S13" s="263">
        <v>2.1</v>
      </c>
      <c r="T13" s="161">
        <v>0.4</v>
      </c>
      <c r="U13" s="95">
        <v>0.1</v>
      </c>
      <c r="V13" s="57">
        <v>1.1000000000000001</v>
      </c>
      <c r="W13" s="156">
        <v>1.1000000000000001</v>
      </c>
      <c r="X13" s="44">
        <v>1.7</v>
      </c>
      <c r="Y13" s="106" t="s">
        <v>30</v>
      </c>
      <c r="Z13" s="120" t="s">
        <v>236</v>
      </c>
      <c r="AA13" s="255">
        <v>4.2</v>
      </c>
      <c r="AB13" s="326"/>
    </row>
    <row r="14" spans="1:28" ht="18.75" customHeight="1">
      <c r="A14" s="235">
        <v>9</v>
      </c>
      <c r="B14" s="27" t="s">
        <v>237</v>
      </c>
      <c r="C14" s="220" t="s">
        <v>116</v>
      </c>
      <c r="D14" s="244" t="s">
        <v>50</v>
      </c>
      <c r="E14" s="250">
        <v>2002</v>
      </c>
      <c r="F14" s="89">
        <v>33</v>
      </c>
      <c r="G14" s="269">
        <v>3.9</v>
      </c>
      <c r="H14" s="43">
        <f>36/33</f>
        <v>1.0909090909090908</v>
      </c>
      <c r="I14" s="9">
        <f>77/33</f>
        <v>2.3333333333333335</v>
      </c>
      <c r="J14" s="274">
        <v>46.8</v>
      </c>
      <c r="K14" s="43">
        <f>14/33</f>
        <v>0.42424242424242425</v>
      </c>
      <c r="L14" s="9">
        <f>43/33</f>
        <v>1.303030303030303</v>
      </c>
      <c r="M14" s="274">
        <v>32.6</v>
      </c>
      <c r="N14" s="43">
        <f>15/33</f>
        <v>0.45454545454545453</v>
      </c>
      <c r="O14" s="9">
        <f>22/33</f>
        <v>0.66666666666666663</v>
      </c>
      <c r="P14" s="274">
        <v>68.2</v>
      </c>
      <c r="Q14" s="73">
        <v>1.2</v>
      </c>
      <c r="R14" s="8">
        <v>0.4</v>
      </c>
      <c r="S14" s="261">
        <v>1.6</v>
      </c>
      <c r="T14" s="119">
        <v>0.5</v>
      </c>
      <c r="U14" s="35">
        <v>0</v>
      </c>
      <c r="V14" s="32">
        <v>0.9</v>
      </c>
      <c r="W14" s="109">
        <v>0.6</v>
      </c>
      <c r="X14" s="73">
        <v>1.2</v>
      </c>
      <c r="Y14" s="105" t="s">
        <v>30</v>
      </c>
      <c r="Z14" s="121" t="s">
        <v>238</v>
      </c>
      <c r="AA14" s="256">
        <v>3.8</v>
      </c>
      <c r="AB14" s="326"/>
    </row>
    <row r="15" spans="1:28" ht="18.75" customHeight="1">
      <c r="A15" s="236">
        <v>10</v>
      </c>
      <c r="B15" s="26" t="s">
        <v>239</v>
      </c>
      <c r="C15" s="219" t="s">
        <v>116</v>
      </c>
      <c r="D15" s="243" t="s">
        <v>33</v>
      </c>
      <c r="E15" s="251">
        <v>2000</v>
      </c>
      <c r="F15" s="90">
        <v>19</v>
      </c>
      <c r="G15" s="270">
        <v>2.8</v>
      </c>
      <c r="H15" s="44">
        <f>16/19</f>
        <v>0.84210526315789469</v>
      </c>
      <c r="I15" s="2">
        <f>31/19</f>
        <v>1.631578947368421</v>
      </c>
      <c r="J15" s="275">
        <v>51.6</v>
      </c>
      <c r="K15" s="186">
        <f>1/19</f>
        <v>5.2631578947368418E-2</v>
      </c>
      <c r="L15" s="2">
        <f>14/19</f>
        <v>0.73684210526315785</v>
      </c>
      <c r="M15" s="277">
        <v>7.1</v>
      </c>
      <c r="N15" s="44">
        <f>18/19</f>
        <v>0.94736842105263153</v>
      </c>
      <c r="O15" s="2">
        <f>32/19</f>
        <v>1.6842105263157894</v>
      </c>
      <c r="P15" s="275">
        <v>56.3</v>
      </c>
      <c r="Q15" s="71">
        <v>0.9</v>
      </c>
      <c r="R15" s="1">
        <v>0.4</v>
      </c>
      <c r="S15" s="263">
        <v>1.4</v>
      </c>
      <c r="T15" s="161">
        <v>1</v>
      </c>
      <c r="U15" s="36">
        <v>0</v>
      </c>
      <c r="V15" s="33">
        <v>0.3</v>
      </c>
      <c r="W15" s="110">
        <v>0.1</v>
      </c>
      <c r="X15" s="71">
        <v>0.7</v>
      </c>
      <c r="Y15" s="106" t="s">
        <v>30</v>
      </c>
      <c r="Z15" s="120" t="s">
        <v>240</v>
      </c>
      <c r="AA15" s="257">
        <v>3.1</v>
      </c>
      <c r="AB15" s="326"/>
    </row>
    <row r="16" spans="1:28" ht="18.75" customHeight="1">
      <c r="A16" s="235">
        <v>11</v>
      </c>
      <c r="B16" s="27" t="s">
        <v>241</v>
      </c>
      <c r="C16" s="220" t="s">
        <v>116</v>
      </c>
      <c r="D16" s="242" t="s">
        <v>59</v>
      </c>
      <c r="E16" s="250">
        <v>2000</v>
      </c>
      <c r="F16" s="89">
        <v>24</v>
      </c>
      <c r="G16" s="269">
        <v>3.6</v>
      </c>
      <c r="H16" s="43">
        <f>25/24</f>
        <v>1.0416666666666667</v>
      </c>
      <c r="I16" s="9">
        <f>38/24</f>
        <v>1.5833333333333333</v>
      </c>
      <c r="J16" s="276">
        <v>65.8</v>
      </c>
      <c r="K16" s="43">
        <f>9/24</f>
        <v>0.375</v>
      </c>
      <c r="L16" s="9">
        <v>1</v>
      </c>
      <c r="M16" s="276">
        <v>37.5</v>
      </c>
      <c r="N16" s="43">
        <f>10/24</f>
        <v>0.41666666666666669</v>
      </c>
      <c r="O16" s="9">
        <f>16/24</f>
        <v>0.66666666666666663</v>
      </c>
      <c r="P16" s="276">
        <v>62.5</v>
      </c>
      <c r="Q16" s="73">
        <v>1.3</v>
      </c>
      <c r="R16" s="8">
        <v>0.4</v>
      </c>
      <c r="S16" s="262">
        <v>1.7</v>
      </c>
      <c r="T16" s="119">
        <v>0.3</v>
      </c>
      <c r="U16" s="35">
        <v>0.1</v>
      </c>
      <c r="V16" s="56">
        <v>0.5</v>
      </c>
      <c r="W16" s="109">
        <v>0.3</v>
      </c>
      <c r="X16" s="73">
        <v>1.8</v>
      </c>
      <c r="Y16" s="105" t="s">
        <v>30</v>
      </c>
      <c r="Z16" s="119" t="s">
        <v>242</v>
      </c>
      <c r="AA16" s="254">
        <v>3</v>
      </c>
      <c r="AB16" s="326"/>
    </row>
    <row r="17" spans="1:28" ht="18.75" customHeight="1">
      <c r="A17" s="234">
        <v>12</v>
      </c>
      <c r="B17" s="26" t="s">
        <v>243</v>
      </c>
      <c r="C17" s="219" t="s">
        <v>116</v>
      </c>
      <c r="D17" s="243" t="s">
        <v>33</v>
      </c>
      <c r="E17" s="251">
        <v>2000</v>
      </c>
      <c r="F17" s="90">
        <v>23</v>
      </c>
      <c r="G17" s="270">
        <v>3.6</v>
      </c>
      <c r="H17" s="44">
        <f>18/23</f>
        <v>0.78260869565217395</v>
      </c>
      <c r="I17" s="2">
        <f>34/23</f>
        <v>1.4782608695652173</v>
      </c>
      <c r="J17" s="277">
        <v>52.9</v>
      </c>
      <c r="K17" s="44">
        <f>13/23</f>
        <v>0.56521739130434778</v>
      </c>
      <c r="L17" s="2">
        <f>46/23</f>
        <v>2</v>
      </c>
      <c r="M17" s="277">
        <v>28.3</v>
      </c>
      <c r="N17" s="44">
        <f>8/23</f>
        <v>0.34782608695652173</v>
      </c>
      <c r="O17" s="2">
        <f>14/23</f>
        <v>0.60869565217391308</v>
      </c>
      <c r="P17" s="277">
        <v>57.1</v>
      </c>
      <c r="Q17" s="71">
        <v>1.4</v>
      </c>
      <c r="R17" s="1">
        <v>0.6</v>
      </c>
      <c r="S17" s="263">
        <v>2</v>
      </c>
      <c r="T17" s="120">
        <v>0.3</v>
      </c>
      <c r="U17" s="95">
        <v>0.1</v>
      </c>
      <c r="V17" s="57">
        <v>0.7</v>
      </c>
      <c r="W17" s="110">
        <v>0.7</v>
      </c>
      <c r="X17" s="71">
        <v>1.9</v>
      </c>
      <c r="Y17" s="106" t="s">
        <v>30</v>
      </c>
      <c r="Z17" s="120" t="s">
        <v>244</v>
      </c>
      <c r="AA17" s="255">
        <v>2.2999999999999998</v>
      </c>
      <c r="AB17" s="326"/>
    </row>
    <row r="18" spans="1:28" ht="18.75" customHeight="1">
      <c r="A18" s="233">
        <v>13</v>
      </c>
      <c r="B18" s="27" t="s">
        <v>245</v>
      </c>
      <c r="C18" s="220" t="s">
        <v>116</v>
      </c>
      <c r="D18" s="242" t="s">
        <v>38</v>
      </c>
      <c r="E18" s="250">
        <v>2000</v>
      </c>
      <c r="F18" s="89">
        <v>11</v>
      </c>
      <c r="G18" s="269">
        <v>1.2</v>
      </c>
      <c r="H18" s="43">
        <f>3/9</f>
        <v>0.33333333333333331</v>
      </c>
      <c r="I18" s="9">
        <f>7/9</f>
        <v>0.77777777777777779</v>
      </c>
      <c r="J18" s="274">
        <v>42.9</v>
      </c>
      <c r="K18" s="43">
        <f>1/9</f>
        <v>0.1111111111111111</v>
      </c>
      <c r="L18" s="9">
        <f>6/9</f>
        <v>0.66666666666666663</v>
      </c>
      <c r="M18" s="276">
        <v>16.7</v>
      </c>
      <c r="N18" s="43">
        <f>2/9</f>
        <v>0.22222222222222221</v>
      </c>
      <c r="O18" s="9">
        <v>0.2</v>
      </c>
      <c r="P18" s="274">
        <v>100</v>
      </c>
      <c r="Q18" s="73">
        <v>1.2</v>
      </c>
      <c r="R18" s="8">
        <v>0.3</v>
      </c>
      <c r="S18" s="262">
        <v>1.6</v>
      </c>
      <c r="T18" s="119">
        <v>0.3</v>
      </c>
      <c r="U18" s="35">
        <v>0.2</v>
      </c>
      <c r="V18" s="32">
        <v>0.2</v>
      </c>
      <c r="W18" s="194">
        <v>0.2</v>
      </c>
      <c r="X18" s="73">
        <v>0.4</v>
      </c>
      <c r="Y18" s="105" t="s">
        <v>30</v>
      </c>
      <c r="Z18" s="119" t="s">
        <v>246</v>
      </c>
      <c r="AA18" s="256">
        <v>2.2000000000000002</v>
      </c>
      <c r="AB18" s="326"/>
    </row>
    <row r="19" spans="1:28" ht="18.75" customHeight="1">
      <c r="A19" s="234">
        <v>14</v>
      </c>
      <c r="B19" s="26" t="s">
        <v>171</v>
      </c>
      <c r="C19" s="219" t="s">
        <v>116</v>
      </c>
      <c r="D19" s="243" t="s">
        <v>63</v>
      </c>
      <c r="E19" s="251">
        <v>2002</v>
      </c>
      <c r="F19" s="90">
        <v>18</v>
      </c>
      <c r="G19" s="268">
        <v>3.6</v>
      </c>
      <c r="H19" s="44">
        <f>10/18</f>
        <v>0.55555555555555558</v>
      </c>
      <c r="I19" s="2">
        <f>29/18</f>
        <v>1.6111111111111112</v>
      </c>
      <c r="J19" s="275">
        <v>34.5</v>
      </c>
      <c r="K19" s="44">
        <f>10/18</f>
        <v>0.55555555555555558</v>
      </c>
      <c r="L19" s="2">
        <f>31/18</f>
        <v>1.7222222222222223</v>
      </c>
      <c r="M19" s="277">
        <v>32.299999999999997</v>
      </c>
      <c r="N19" s="44">
        <f>14/18</f>
        <v>0.77777777777777779</v>
      </c>
      <c r="O19" s="2">
        <f>17/18</f>
        <v>0.94444444444444442</v>
      </c>
      <c r="P19" s="277">
        <v>82.4</v>
      </c>
      <c r="Q19" s="44">
        <v>0.9</v>
      </c>
      <c r="R19" s="1">
        <v>0.3</v>
      </c>
      <c r="S19" s="263">
        <v>1.2</v>
      </c>
      <c r="T19" s="120">
        <v>0.7</v>
      </c>
      <c r="U19" s="87">
        <v>0</v>
      </c>
      <c r="V19" s="57">
        <v>1</v>
      </c>
      <c r="W19" s="156">
        <v>0.6</v>
      </c>
      <c r="X19" s="71">
        <v>1.2</v>
      </c>
      <c r="Y19" s="106" t="s">
        <v>30</v>
      </c>
      <c r="Z19" s="120" t="s">
        <v>238</v>
      </c>
      <c r="AA19" s="255">
        <v>2.1</v>
      </c>
      <c r="AB19" s="326"/>
    </row>
    <row r="20" spans="1:28" ht="18.75" customHeight="1">
      <c r="A20" s="233">
        <v>15</v>
      </c>
      <c r="B20" s="27" t="s">
        <v>247</v>
      </c>
      <c r="C20" s="220" t="s">
        <v>62</v>
      </c>
      <c r="D20" s="244" t="s">
        <v>47</v>
      </c>
      <c r="E20" s="250">
        <v>2003</v>
      </c>
      <c r="F20" s="89">
        <v>19</v>
      </c>
      <c r="G20" s="267">
        <v>1.8</v>
      </c>
      <c r="H20" s="43">
        <f>15/19</f>
        <v>0.78947368421052633</v>
      </c>
      <c r="I20" s="9">
        <f>24/19</f>
        <v>1.263157894736842</v>
      </c>
      <c r="J20" s="276">
        <v>62.5</v>
      </c>
      <c r="K20" s="225">
        <v>0</v>
      </c>
      <c r="L20" s="9">
        <f>20/19</f>
        <v>1.0526315789473684</v>
      </c>
      <c r="M20" s="279">
        <v>0</v>
      </c>
      <c r="N20" s="43">
        <f>5/19</f>
        <v>0.26315789473684209</v>
      </c>
      <c r="O20" s="9">
        <f>8/19</f>
        <v>0.42105263157894735</v>
      </c>
      <c r="P20" s="274">
        <v>62.5</v>
      </c>
      <c r="Q20" s="73">
        <v>0.7</v>
      </c>
      <c r="R20" s="9">
        <v>0.8</v>
      </c>
      <c r="S20" s="262">
        <v>1.5</v>
      </c>
      <c r="T20" s="119">
        <v>1.2</v>
      </c>
      <c r="U20" s="35">
        <v>0</v>
      </c>
      <c r="V20" s="56">
        <v>0.7</v>
      </c>
      <c r="W20" s="109">
        <v>0.7</v>
      </c>
      <c r="X20" s="73">
        <v>1.1000000000000001</v>
      </c>
      <c r="Y20" s="105" t="s">
        <v>30</v>
      </c>
      <c r="Z20" s="119" t="s">
        <v>242</v>
      </c>
      <c r="AA20" s="254">
        <v>2.1</v>
      </c>
      <c r="AB20" s="326"/>
    </row>
    <row r="21" spans="1:28" ht="18.75" customHeight="1">
      <c r="A21" s="234">
        <v>16</v>
      </c>
      <c r="B21" s="26" t="s">
        <v>248</v>
      </c>
      <c r="C21" s="219" t="s">
        <v>116</v>
      </c>
      <c r="D21" s="243" t="s">
        <v>35</v>
      </c>
      <c r="E21" s="251">
        <v>2002</v>
      </c>
      <c r="F21" s="90">
        <v>24</v>
      </c>
      <c r="G21" s="270">
        <v>2.9</v>
      </c>
      <c r="H21" s="44">
        <f>13/24</f>
        <v>0.54166666666666663</v>
      </c>
      <c r="I21" s="2">
        <f>29/24</f>
        <v>1.2083333333333333</v>
      </c>
      <c r="J21" s="277">
        <v>44.8</v>
      </c>
      <c r="K21" s="44">
        <f>10/24</f>
        <v>0.41666666666666669</v>
      </c>
      <c r="L21" s="2">
        <f>32/24</f>
        <v>1.3333333333333333</v>
      </c>
      <c r="M21" s="277">
        <v>31.3</v>
      </c>
      <c r="N21" s="44">
        <f>13/24</f>
        <v>0.54166666666666663</v>
      </c>
      <c r="O21" s="2">
        <f>17/24</f>
        <v>0.70833333333333337</v>
      </c>
      <c r="P21" s="277">
        <v>76.5</v>
      </c>
      <c r="Q21" s="44">
        <v>1</v>
      </c>
      <c r="R21" s="1">
        <v>0.4</v>
      </c>
      <c r="S21" s="263">
        <v>1.4</v>
      </c>
      <c r="T21" s="161">
        <v>1</v>
      </c>
      <c r="U21" s="36">
        <v>0.1</v>
      </c>
      <c r="V21" s="33">
        <v>0.7</v>
      </c>
      <c r="W21" s="110">
        <v>0.5</v>
      </c>
      <c r="X21" s="44">
        <v>1.8</v>
      </c>
      <c r="Y21" s="106" t="s">
        <v>30</v>
      </c>
      <c r="Z21" s="120" t="s">
        <v>154</v>
      </c>
      <c r="AA21" s="255">
        <v>2</v>
      </c>
      <c r="AB21" s="326"/>
    </row>
    <row r="22" spans="1:28" ht="18.75" customHeight="1">
      <c r="A22" s="233">
        <v>17</v>
      </c>
      <c r="B22" s="27" t="s">
        <v>249</v>
      </c>
      <c r="C22" s="220" t="s">
        <v>62</v>
      </c>
      <c r="D22" s="242" t="s">
        <v>69</v>
      </c>
      <c r="E22" s="250">
        <v>2004</v>
      </c>
      <c r="F22" s="89">
        <v>21</v>
      </c>
      <c r="G22" s="269">
        <v>2.1</v>
      </c>
      <c r="H22" s="43">
        <f>5/21</f>
        <v>0.23809523809523808</v>
      </c>
      <c r="I22" s="9">
        <v>1</v>
      </c>
      <c r="J22" s="276">
        <v>23.8</v>
      </c>
      <c r="K22" s="43">
        <f>2/21</f>
        <v>9.5238095238095233E-2</v>
      </c>
      <c r="L22" s="9">
        <f>16/21</f>
        <v>0.76190476190476186</v>
      </c>
      <c r="M22" s="276">
        <v>12.5</v>
      </c>
      <c r="N22" s="43">
        <f>28/21</f>
        <v>1.3333333333333333</v>
      </c>
      <c r="O22" s="9">
        <f>34/21</f>
        <v>1.6190476190476191</v>
      </c>
      <c r="P22" s="276">
        <v>82.4</v>
      </c>
      <c r="Q22" s="73">
        <v>0.7</v>
      </c>
      <c r="R22" s="8">
        <v>0.4</v>
      </c>
      <c r="S22" s="262">
        <v>1.1000000000000001</v>
      </c>
      <c r="T22" s="119">
        <v>1.6</v>
      </c>
      <c r="U22" s="283">
        <v>0</v>
      </c>
      <c r="V22" s="56">
        <v>1.2</v>
      </c>
      <c r="W22" s="194">
        <v>1</v>
      </c>
      <c r="X22" s="73">
        <v>1.9</v>
      </c>
      <c r="Y22" s="105" t="s">
        <v>30</v>
      </c>
      <c r="Z22" s="119" t="s">
        <v>238</v>
      </c>
      <c r="AA22" s="254">
        <v>2</v>
      </c>
      <c r="AB22" s="326"/>
    </row>
    <row r="23" spans="1:28" ht="18.75" customHeight="1">
      <c r="A23" s="234">
        <v>18</v>
      </c>
      <c r="B23" s="26" t="s">
        <v>250</v>
      </c>
      <c r="C23" s="219" t="s">
        <v>116</v>
      </c>
      <c r="D23" s="243" t="s">
        <v>92</v>
      </c>
      <c r="E23" s="251">
        <v>2000</v>
      </c>
      <c r="F23" s="90">
        <v>16</v>
      </c>
      <c r="G23" s="268">
        <v>2.9</v>
      </c>
      <c r="H23" s="44">
        <f>10/16</f>
        <v>0.625</v>
      </c>
      <c r="I23" s="2">
        <f>26/16</f>
        <v>1.625</v>
      </c>
      <c r="J23" s="277">
        <v>38.5</v>
      </c>
      <c r="K23" s="44">
        <f>3/16</f>
        <v>0.1875</v>
      </c>
      <c r="L23" s="2">
        <f>14/16</f>
        <v>0.875</v>
      </c>
      <c r="M23" s="277">
        <v>21.4</v>
      </c>
      <c r="N23" s="65">
        <f>18/16</f>
        <v>1.125</v>
      </c>
      <c r="O23" s="2">
        <f>34/16</f>
        <v>2.125</v>
      </c>
      <c r="P23" s="277">
        <v>52.9</v>
      </c>
      <c r="Q23" s="44">
        <v>2</v>
      </c>
      <c r="R23" s="2">
        <v>0.3</v>
      </c>
      <c r="S23" s="263">
        <v>2.2999999999999998</v>
      </c>
      <c r="T23" s="161">
        <v>0.3</v>
      </c>
      <c r="U23" s="36">
        <v>0</v>
      </c>
      <c r="V23" s="33">
        <v>0.7</v>
      </c>
      <c r="W23" s="110">
        <v>0.4</v>
      </c>
      <c r="X23" s="44">
        <v>1.1000000000000001</v>
      </c>
      <c r="Y23" s="106" t="s">
        <v>30</v>
      </c>
      <c r="Z23" s="120" t="s">
        <v>251</v>
      </c>
      <c r="AA23" s="257">
        <v>1.7</v>
      </c>
      <c r="AB23" s="326"/>
    </row>
    <row r="24" spans="1:28" ht="18.75" customHeight="1">
      <c r="A24" s="233">
        <v>19</v>
      </c>
      <c r="B24" s="27" t="s">
        <v>252</v>
      </c>
      <c r="C24" s="220" t="s">
        <v>116</v>
      </c>
      <c r="D24" s="242" t="s">
        <v>41</v>
      </c>
      <c r="E24" s="250">
        <v>1999</v>
      </c>
      <c r="F24" s="89">
        <v>20</v>
      </c>
      <c r="G24" s="269">
        <v>1.6</v>
      </c>
      <c r="H24" s="43">
        <f>12/20</f>
        <v>0.6</v>
      </c>
      <c r="I24" s="9">
        <f>22/20</f>
        <v>1.1000000000000001</v>
      </c>
      <c r="J24" s="274">
        <v>54.5</v>
      </c>
      <c r="K24" s="73">
        <v>0</v>
      </c>
      <c r="L24" s="9">
        <f>1/20</f>
        <v>0.05</v>
      </c>
      <c r="M24" s="279">
        <v>0</v>
      </c>
      <c r="N24" s="43">
        <f>8/20</f>
        <v>0.4</v>
      </c>
      <c r="O24" s="9">
        <f>17/20</f>
        <v>0.85</v>
      </c>
      <c r="P24" s="274">
        <v>47.1</v>
      </c>
      <c r="Q24" s="73">
        <v>0.8</v>
      </c>
      <c r="R24" s="8">
        <v>0.6</v>
      </c>
      <c r="S24" s="262">
        <v>1.3</v>
      </c>
      <c r="T24" s="119">
        <v>0.3</v>
      </c>
      <c r="U24" s="35">
        <v>0.2</v>
      </c>
      <c r="V24" s="32">
        <v>0.6</v>
      </c>
      <c r="W24" s="109">
        <v>0.1</v>
      </c>
      <c r="X24" s="43">
        <v>1</v>
      </c>
      <c r="Y24" s="105" t="s">
        <v>30</v>
      </c>
      <c r="Z24" s="119" t="s">
        <v>253</v>
      </c>
      <c r="AA24" s="256">
        <v>1.3</v>
      </c>
      <c r="AB24" s="326"/>
    </row>
    <row r="25" spans="1:28" ht="18.75" customHeight="1">
      <c r="A25" s="237">
        <v>20</v>
      </c>
      <c r="B25" s="238" t="s">
        <v>254</v>
      </c>
      <c r="C25" s="240" t="s">
        <v>116</v>
      </c>
      <c r="D25" s="245" t="s">
        <v>38</v>
      </c>
      <c r="E25" s="252">
        <v>2004</v>
      </c>
      <c r="F25" s="259">
        <v>10</v>
      </c>
      <c r="G25" s="271">
        <v>2.2000000000000002</v>
      </c>
      <c r="H25" s="264">
        <f>3/5</f>
        <v>0.6</v>
      </c>
      <c r="I25" s="265">
        <v>0.6</v>
      </c>
      <c r="J25" s="278">
        <v>100</v>
      </c>
      <c r="K25" s="264">
        <f>1/5</f>
        <v>0.2</v>
      </c>
      <c r="L25" s="265">
        <f>4/5</f>
        <v>0.8</v>
      </c>
      <c r="M25" s="280">
        <v>25</v>
      </c>
      <c r="N25" s="264">
        <f>2/5</f>
        <v>0.4</v>
      </c>
      <c r="O25" s="265">
        <f>3/5</f>
        <v>0.6</v>
      </c>
      <c r="P25" s="280">
        <v>66.7</v>
      </c>
      <c r="Q25" s="264">
        <v>0.4</v>
      </c>
      <c r="R25" s="281">
        <v>0</v>
      </c>
      <c r="S25" s="272">
        <v>0.4</v>
      </c>
      <c r="T25" s="286">
        <v>0.8</v>
      </c>
      <c r="U25" s="246">
        <v>0</v>
      </c>
      <c r="V25" s="287">
        <v>1.6</v>
      </c>
      <c r="W25" s="288">
        <v>0</v>
      </c>
      <c r="X25" s="264">
        <v>0.2</v>
      </c>
      <c r="Y25" s="284" t="s">
        <v>30</v>
      </c>
      <c r="Z25" s="286" t="s">
        <v>255</v>
      </c>
      <c r="AA25" s="258">
        <v>1.2</v>
      </c>
      <c r="AB25" s="326"/>
    </row>
    <row r="26" spans="1:28" ht="18.75" customHeight="1">
      <c r="A26" s="316"/>
      <c r="B26" s="317"/>
      <c r="C26" s="317"/>
      <c r="D26" s="317"/>
      <c r="E26" s="317"/>
      <c r="F26" s="317"/>
      <c r="G26" s="317"/>
      <c r="H26" s="317"/>
      <c r="I26" s="317"/>
      <c r="J26" s="317"/>
      <c r="K26" s="317"/>
      <c r="L26" s="317"/>
      <c r="M26" s="317"/>
      <c r="N26" s="317"/>
      <c r="O26" s="317"/>
      <c r="P26" s="317"/>
      <c r="Q26" s="317"/>
      <c r="R26" s="317"/>
      <c r="S26" s="317"/>
      <c r="T26" s="317"/>
      <c r="U26" s="317"/>
      <c r="V26" s="317"/>
      <c r="W26" s="317"/>
      <c r="X26" s="317"/>
      <c r="Y26" s="317"/>
      <c r="Z26" s="317"/>
      <c r="AA26" s="317"/>
      <c r="AB26" s="318"/>
    </row>
    <row r="27" spans="1:28" ht="18.75" customHeight="1"/>
    <row r="28" spans="1:28" ht="18.75" customHeight="1"/>
    <row r="29" spans="1:28" ht="21" customHeight="1"/>
    <row r="30" spans="1:28" ht="21" customHeight="1">
      <c r="R30" s="5"/>
    </row>
    <row r="31" spans="1:28" ht="21" customHeight="1"/>
    <row r="32" spans="1:28" ht="21" customHeight="1"/>
    <row r="33" ht="21" customHeight="1"/>
    <row r="34" ht="21" customHeight="1"/>
    <row r="35" ht="21" customHeight="1"/>
    <row r="36" ht="21" customHeight="1"/>
  </sheetData>
  <mergeCells count="19">
    <mergeCell ref="V5:W5"/>
    <mergeCell ref="A26:AA26"/>
    <mergeCell ref="AB1:AB26"/>
    <mergeCell ref="C5:C6"/>
    <mergeCell ref="D5:D6"/>
    <mergeCell ref="F5:F6"/>
    <mergeCell ref="G5:G6"/>
    <mergeCell ref="H5:J5"/>
    <mergeCell ref="X5:Y5"/>
    <mergeCell ref="Z5:Z6"/>
    <mergeCell ref="A1:Z3"/>
    <mergeCell ref="A4:Z4"/>
    <mergeCell ref="AA5:AA6"/>
    <mergeCell ref="K5:M5"/>
    <mergeCell ref="N5:P5"/>
    <mergeCell ref="Q5:S5"/>
    <mergeCell ref="A5:B6"/>
    <mergeCell ref="T5:T6"/>
    <mergeCell ref="U5:U6"/>
  </mergeCells>
  <pageMargins left="0.25" right="0.25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spartans</dc:creator>
  <cp:keywords/>
  <dc:description/>
  <cp:lastModifiedBy>Leo Hiriart</cp:lastModifiedBy>
  <cp:revision/>
  <dcterms:created xsi:type="dcterms:W3CDTF">2023-01-25T13:33:20Z</dcterms:created>
  <dcterms:modified xsi:type="dcterms:W3CDTF">2023-01-25T19:20:05Z</dcterms:modified>
  <cp:category/>
  <cp:contentStatus/>
</cp:coreProperties>
</file>