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02"/>
  <workbookPr/>
  <xr:revisionPtr revIDLastSave="0" documentId="8_{FA3E66E2-0E0B-4CD8-A22D-14FBF511F882}" xr6:coauthVersionLast="47" xr6:coauthVersionMax="47" xr10:uidLastSave="{00000000-0000-0000-0000-000000000000}"/>
  <bookViews>
    <workbookView xWindow="-120" yWindow="-120" windowWidth="20730" windowHeight="11160" firstSheet="3" activeTab="3" xr2:uid="{00000000-000D-0000-FFFF-FFFF00000000}"/>
  </bookViews>
  <sheets>
    <sheet name="BASES" sheetId="1" r:id="rId1"/>
    <sheet name="ESCOLTAS" sheetId="2" r:id="rId2"/>
    <sheet name="ALEROS" sheetId="3" r:id="rId3"/>
    <sheet name="ALA-PIVOTS" sheetId="4" r:id="rId4"/>
    <sheet name="PIVOTS" sheetId="5" r:id="rId5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J27" i="5" l="1"/>
  <c r="AD27" i="5"/>
  <c r="S27" i="5"/>
  <c r="AC27" i="5"/>
  <c r="Z27" i="5"/>
  <c r="AB27" i="5"/>
  <c r="AA27" i="5"/>
  <c r="Y27" i="5"/>
  <c r="V27" i="5"/>
  <c r="R27" i="5"/>
  <c r="Q27" i="5"/>
  <c r="N27" i="5"/>
  <c r="J27" i="5"/>
  <c r="K27" i="5"/>
  <c r="I27" i="5"/>
  <c r="F27" i="5"/>
  <c r="G27" i="5"/>
  <c r="AJ26" i="5"/>
  <c r="AD26" i="5"/>
  <c r="S26" i="5"/>
  <c r="AC26" i="5"/>
  <c r="Z26" i="5"/>
  <c r="AB26" i="5"/>
  <c r="AA26" i="5"/>
  <c r="Y26" i="5"/>
  <c r="V26" i="5"/>
  <c r="R26" i="5"/>
  <c r="Q26" i="5"/>
  <c r="N26" i="5"/>
  <c r="J26" i="5"/>
  <c r="K26" i="5"/>
  <c r="I26" i="5"/>
  <c r="F26" i="5"/>
  <c r="G26" i="5"/>
  <c r="AJ25" i="5"/>
  <c r="AD25" i="5"/>
  <c r="S25" i="5"/>
  <c r="AC25" i="5"/>
  <c r="Z25" i="5"/>
  <c r="AB25" i="5"/>
  <c r="AA25" i="5"/>
  <c r="Y25" i="5"/>
  <c r="V25" i="5"/>
  <c r="R25" i="5"/>
  <c r="Q25" i="5"/>
  <c r="N25" i="5"/>
  <c r="J25" i="5"/>
  <c r="K25" i="5"/>
  <c r="I25" i="5"/>
  <c r="F25" i="5"/>
  <c r="G25" i="5"/>
  <c r="AJ24" i="5"/>
  <c r="AD24" i="5"/>
  <c r="S24" i="5"/>
  <c r="AC24" i="5"/>
  <c r="Z24" i="5"/>
  <c r="AB24" i="5"/>
  <c r="AA24" i="5"/>
  <c r="Y24" i="5"/>
  <c r="V24" i="5"/>
  <c r="R24" i="5"/>
  <c r="Q24" i="5"/>
  <c r="N24" i="5"/>
  <c r="J24" i="5"/>
  <c r="K24" i="5"/>
  <c r="I24" i="5"/>
  <c r="F24" i="5"/>
  <c r="G24" i="5"/>
  <c r="AJ23" i="5"/>
  <c r="AD23" i="5"/>
  <c r="S23" i="5"/>
  <c r="AC23" i="5"/>
  <c r="Z23" i="5"/>
  <c r="AB23" i="5"/>
  <c r="AA23" i="5"/>
  <c r="Y23" i="5"/>
  <c r="R23" i="5"/>
  <c r="Q23" i="5"/>
  <c r="N23" i="5"/>
  <c r="J23" i="5"/>
  <c r="K23" i="5"/>
  <c r="I23" i="5"/>
  <c r="F23" i="5"/>
  <c r="G23" i="5"/>
  <c r="AJ22" i="5"/>
  <c r="AD22" i="5"/>
  <c r="S22" i="5"/>
  <c r="AC22" i="5"/>
  <c r="Z22" i="5"/>
  <c r="AB22" i="5"/>
  <c r="AA22" i="5"/>
  <c r="Y22" i="5"/>
  <c r="R22" i="5"/>
  <c r="Q22" i="5"/>
  <c r="N22" i="5"/>
  <c r="J22" i="5"/>
  <c r="K22" i="5"/>
  <c r="I22" i="5"/>
  <c r="F22" i="5"/>
  <c r="G22" i="5"/>
  <c r="AJ21" i="5"/>
  <c r="AD21" i="5"/>
  <c r="S21" i="5"/>
  <c r="AC21" i="5"/>
  <c r="Z21" i="5"/>
  <c r="AB21" i="5"/>
  <c r="AA21" i="5"/>
  <c r="Y21" i="5"/>
  <c r="V21" i="5"/>
  <c r="R21" i="5"/>
  <c r="Q21" i="5"/>
  <c r="N21" i="5"/>
  <c r="J21" i="5"/>
  <c r="K21" i="5"/>
  <c r="I21" i="5"/>
  <c r="F21" i="5"/>
  <c r="G21" i="5"/>
  <c r="AJ20" i="5"/>
  <c r="AD20" i="5"/>
  <c r="S20" i="5"/>
  <c r="AC20" i="5"/>
  <c r="Z20" i="5"/>
  <c r="AB20" i="5"/>
  <c r="AA20" i="5"/>
  <c r="Y20" i="5"/>
  <c r="V20" i="5"/>
  <c r="R20" i="5"/>
  <c r="Q20" i="5"/>
  <c r="N20" i="5"/>
  <c r="J20" i="5"/>
  <c r="K20" i="5"/>
  <c r="I20" i="5"/>
  <c r="F20" i="5"/>
  <c r="G20" i="5"/>
  <c r="AJ19" i="5"/>
  <c r="AD19" i="5"/>
  <c r="S19" i="5"/>
  <c r="AC19" i="5"/>
  <c r="Z19" i="5"/>
  <c r="AB19" i="5"/>
  <c r="AA19" i="5"/>
  <c r="Y19" i="5"/>
  <c r="V19" i="5"/>
  <c r="R19" i="5"/>
  <c r="Q19" i="5"/>
  <c r="N19" i="5"/>
  <c r="J19" i="5"/>
  <c r="K19" i="5"/>
  <c r="I19" i="5"/>
  <c r="F19" i="5"/>
  <c r="G19" i="5"/>
  <c r="AJ18" i="5"/>
  <c r="AD18" i="5"/>
  <c r="S18" i="5"/>
  <c r="AC18" i="5"/>
  <c r="Z18" i="5"/>
  <c r="AB18" i="5"/>
  <c r="AA18" i="5"/>
  <c r="Y18" i="5"/>
  <c r="V18" i="5"/>
  <c r="R18" i="5"/>
  <c r="Q18" i="5"/>
  <c r="N18" i="5"/>
  <c r="J18" i="5"/>
  <c r="K18" i="5"/>
  <c r="I18" i="5"/>
  <c r="F18" i="5"/>
  <c r="G18" i="5"/>
  <c r="AJ17" i="5"/>
  <c r="AD17" i="5"/>
  <c r="S17" i="5"/>
  <c r="AC17" i="5"/>
  <c r="Z17" i="5"/>
  <c r="AB17" i="5"/>
  <c r="AA17" i="5"/>
  <c r="Y17" i="5"/>
  <c r="V17" i="5"/>
  <c r="R17" i="5"/>
  <c r="Q17" i="5"/>
  <c r="N17" i="5"/>
  <c r="J17" i="5"/>
  <c r="K17" i="5"/>
  <c r="I17" i="5"/>
  <c r="F17" i="5"/>
  <c r="G17" i="5"/>
  <c r="AJ16" i="5"/>
  <c r="AD16" i="5"/>
  <c r="S16" i="5"/>
  <c r="AC16" i="5"/>
  <c r="Z16" i="5"/>
  <c r="AB16" i="5"/>
  <c r="AA16" i="5"/>
  <c r="Y16" i="5"/>
  <c r="R16" i="5"/>
  <c r="Q16" i="5"/>
  <c r="N16" i="5"/>
  <c r="J16" i="5"/>
  <c r="K16" i="5"/>
  <c r="I16" i="5"/>
  <c r="F16" i="5"/>
  <c r="G16" i="5"/>
  <c r="AJ15" i="5"/>
  <c r="AD15" i="5"/>
  <c r="S15" i="5"/>
  <c r="AC15" i="5"/>
  <c r="Z15" i="5"/>
  <c r="AB15" i="5"/>
  <c r="AA15" i="5"/>
  <c r="Y15" i="5"/>
  <c r="V15" i="5"/>
  <c r="R15" i="5"/>
  <c r="Q15" i="5"/>
  <c r="N15" i="5"/>
  <c r="J15" i="5"/>
  <c r="K15" i="5"/>
  <c r="I15" i="5"/>
  <c r="F15" i="5"/>
  <c r="G15" i="5"/>
  <c r="AJ14" i="5"/>
  <c r="AD14" i="5"/>
  <c r="S14" i="5"/>
  <c r="AC14" i="5"/>
  <c r="Z14" i="5"/>
  <c r="AB14" i="5"/>
  <c r="AA14" i="5"/>
  <c r="Y14" i="5"/>
  <c r="V14" i="5"/>
  <c r="R14" i="5"/>
  <c r="Q14" i="5"/>
  <c r="N14" i="5"/>
  <c r="J14" i="5"/>
  <c r="K14" i="5"/>
  <c r="I14" i="5"/>
  <c r="F14" i="5"/>
  <c r="G14" i="5"/>
  <c r="AJ13" i="5"/>
  <c r="AD13" i="5"/>
  <c r="S13" i="5"/>
  <c r="AC13" i="5"/>
  <c r="Z13" i="5"/>
  <c r="AB13" i="5"/>
  <c r="AA13" i="5"/>
  <c r="Y13" i="5"/>
  <c r="V13" i="5"/>
  <c r="R13" i="5"/>
  <c r="Q13" i="5"/>
  <c r="N13" i="5"/>
  <c r="J13" i="5"/>
  <c r="K13" i="5"/>
  <c r="I13" i="5"/>
  <c r="F13" i="5"/>
  <c r="G13" i="5"/>
  <c r="AJ12" i="5"/>
  <c r="AD12" i="5"/>
  <c r="S12" i="5"/>
  <c r="AC12" i="5"/>
  <c r="Z12" i="5"/>
  <c r="AB12" i="5"/>
  <c r="AA12" i="5"/>
  <c r="Y12" i="5"/>
  <c r="V12" i="5"/>
  <c r="R12" i="5"/>
  <c r="Q12" i="5"/>
  <c r="N12" i="5"/>
  <c r="J12" i="5"/>
  <c r="K12" i="5"/>
  <c r="I12" i="5"/>
  <c r="F12" i="5"/>
  <c r="G12" i="5"/>
  <c r="AJ11" i="5"/>
  <c r="AD11" i="5"/>
  <c r="S11" i="5"/>
  <c r="AC11" i="5"/>
  <c r="Z11" i="5"/>
  <c r="AB11" i="5"/>
  <c r="AA11" i="5"/>
  <c r="Y11" i="5"/>
  <c r="V11" i="5"/>
  <c r="R11" i="5"/>
  <c r="Q11" i="5"/>
  <c r="N11" i="5"/>
  <c r="J11" i="5"/>
  <c r="K11" i="5"/>
  <c r="I11" i="5"/>
  <c r="F11" i="5"/>
  <c r="G11" i="5"/>
  <c r="AJ10" i="5"/>
  <c r="AD10" i="5"/>
  <c r="S10" i="5"/>
  <c r="AC10" i="5"/>
  <c r="Z10" i="5"/>
  <c r="AB10" i="5"/>
  <c r="AA10" i="5"/>
  <c r="Y10" i="5"/>
  <c r="V10" i="5"/>
  <c r="R10" i="5"/>
  <c r="Q10" i="5"/>
  <c r="N10" i="5"/>
  <c r="J10" i="5"/>
  <c r="K10" i="5"/>
  <c r="I10" i="5"/>
  <c r="F10" i="5"/>
  <c r="G10" i="5"/>
  <c r="AJ9" i="5"/>
  <c r="AD9" i="5"/>
  <c r="S9" i="5"/>
  <c r="AC9" i="5"/>
  <c r="Z9" i="5"/>
  <c r="AB9" i="5"/>
  <c r="AA9" i="5"/>
  <c r="Y9" i="5"/>
  <c r="V9" i="5"/>
  <c r="R9" i="5"/>
  <c r="Q9" i="5"/>
  <c r="N9" i="5"/>
  <c r="J9" i="5"/>
  <c r="K9" i="5"/>
  <c r="I9" i="5"/>
  <c r="F9" i="5"/>
  <c r="G9" i="5"/>
  <c r="AJ8" i="5"/>
  <c r="AD8" i="5"/>
  <c r="S8" i="5"/>
  <c r="AC8" i="5"/>
  <c r="Z8" i="5"/>
  <c r="AB8" i="5"/>
  <c r="AA8" i="5"/>
  <c r="Y8" i="5"/>
  <c r="V8" i="5"/>
  <c r="R8" i="5"/>
  <c r="Q8" i="5"/>
  <c r="N8" i="5"/>
  <c r="J8" i="5"/>
  <c r="K8" i="5"/>
  <c r="I8" i="5"/>
  <c r="F8" i="5"/>
  <c r="G8" i="5"/>
  <c r="AJ27" i="4"/>
  <c r="AD27" i="4"/>
  <c r="S27" i="4"/>
  <c r="AC27" i="4"/>
  <c r="Z27" i="4"/>
  <c r="AB27" i="4"/>
  <c r="AA27" i="4"/>
  <c r="Y27" i="4"/>
  <c r="V27" i="4"/>
  <c r="R27" i="4"/>
  <c r="Q27" i="4"/>
  <c r="N27" i="4"/>
  <c r="J27" i="4"/>
  <c r="K27" i="4"/>
  <c r="I27" i="4"/>
  <c r="F27" i="4"/>
  <c r="G27" i="4"/>
  <c r="AJ26" i="4"/>
  <c r="AD26" i="4"/>
  <c r="S26" i="4"/>
  <c r="AC26" i="4"/>
  <c r="Z26" i="4"/>
  <c r="AB26" i="4"/>
  <c r="AA26" i="4"/>
  <c r="Y26" i="4"/>
  <c r="V26" i="4"/>
  <c r="R26" i="4"/>
  <c r="Q26" i="4"/>
  <c r="N26" i="4"/>
  <c r="J26" i="4"/>
  <c r="K26" i="4"/>
  <c r="I26" i="4"/>
  <c r="F26" i="4"/>
  <c r="G26" i="4"/>
  <c r="AJ25" i="4"/>
  <c r="AD25" i="4"/>
  <c r="S25" i="4"/>
  <c r="AC25" i="4"/>
  <c r="Z25" i="4"/>
  <c r="AB25" i="4"/>
  <c r="AA25" i="4"/>
  <c r="Y25" i="4"/>
  <c r="V25" i="4"/>
  <c r="R25" i="4"/>
  <c r="Q25" i="4"/>
  <c r="N25" i="4"/>
  <c r="J25" i="4"/>
  <c r="K25" i="4"/>
  <c r="I25" i="4"/>
  <c r="F25" i="4"/>
  <c r="G25" i="4"/>
  <c r="AJ24" i="4"/>
  <c r="AD24" i="4"/>
  <c r="S24" i="4"/>
  <c r="AC24" i="4"/>
  <c r="Z24" i="4"/>
  <c r="AB24" i="4"/>
  <c r="AA24" i="4"/>
  <c r="Y24" i="4"/>
  <c r="V24" i="4"/>
  <c r="R24" i="4"/>
  <c r="Q24" i="4"/>
  <c r="N24" i="4"/>
  <c r="J24" i="4"/>
  <c r="K24" i="4"/>
  <c r="I24" i="4"/>
  <c r="F24" i="4"/>
  <c r="G24" i="4"/>
  <c r="AJ23" i="4"/>
  <c r="AD23" i="4"/>
  <c r="S23" i="4"/>
  <c r="AC23" i="4"/>
  <c r="Z23" i="4"/>
  <c r="AB23" i="4"/>
  <c r="AA23" i="4"/>
  <c r="Y23" i="4"/>
  <c r="V23" i="4"/>
  <c r="R23" i="4"/>
  <c r="N23" i="4"/>
  <c r="J23" i="4"/>
  <c r="K23" i="4"/>
  <c r="I23" i="4"/>
  <c r="F23" i="4"/>
  <c r="G23" i="4"/>
  <c r="AJ22" i="4"/>
  <c r="AD22" i="4"/>
  <c r="S22" i="4"/>
  <c r="AC22" i="4"/>
  <c r="Z22" i="4"/>
  <c r="AB22" i="4"/>
  <c r="AA22" i="4"/>
  <c r="Y22" i="4"/>
  <c r="V22" i="4"/>
  <c r="R22" i="4"/>
  <c r="Q22" i="4"/>
  <c r="N22" i="4"/>
  <c r="J22" i="4"/>
  <c r="K22" i="4"/>
  <c r="I22" i="4"/>
  <c r="F22" i="4"/>
  <c r="G22" i="4"/>
  <c r="AJ21" i="4"/>
  <c r="AD21" i="4"/>
  <c r="S21" i="4"/>
  <c r="AC21" i="4"/>
  <c r="Z21" i="4"/>
  <c r="AB21" i="4"/>
  <c r="AA21" i="4"/>
  <c r="Y21" i="4"/>
  <c r="V21" i="4"/>
  <c r="R21" i="4"/>
  <c r="Q21" i="4"/>
  <c r="N21" i="4"/>
  <c r="J21" i="4"/>
  <c r="K21" i="4"/>
  <c r="I21" i="4"/>
  <c r="F21" i="4"/>
  <c r="G21" i="4"/>
  <c r="AJ20" i="4"/>
  <c r="AD20" i="4"/>
  <c r="S20" i="4"/>
  <c r="AC20" i="4"/>
  <c r="Z20" i="4"/>
  <c r="AB20" i="4"/>
  <c r="AA20" i="4"/>
  <c r="Y20" i="4"/>
  <c r="V20" i="4"/>
  <c r="R20" i="4"/>
  <c r="Q20" i="4"/>
  <c r="N20" i="4"/>
  <c r="J20" i="4"/>
  <c r="K20" i="4"/>
  <c r="I20" i="4"/>
  <c r="F20" i="4"/>
  <c r="G20" i="4"/>
  <c r="AJ19" i="4"/>
  <c r="AD19" i="4"/>
  <c r="S19" i="4"/>
  <c r="AC19" i="4"/>
  <c r="Z19" i="4"/>
  <c r="AB19" i="4"/>
  <c r="AA19" i="4"/>
  <c r="Y19" i="4"/>
  <c r="V19" i="4"/>
  <c r="R19" i="4"/>
  <c r="Q19" i="4"/>
  <c r="N19" i="4"/>
  <c r="J19" i="4"/>
  <c r="K19" i="4"/>
  <c r="I19" i="4"/>
  <c r="F19" i="4"/>
  <c r="G19" i="4"/>
  <c r="AJ18" i="4"/>
  <c r="AD18" i="4"/>
  <c r="S18" i="4"/>
  <c r="AC18" i="4"/>
  <c r="Z18" i="4"/>
  <c r="AB18" i="4"/>
  <c r="AA18" i="4"/>
  <c r="Y18" i="4"/>
  <c r="V18" i="4"/>
  <c r="R18" i="4"/>
  <c r="Q18" i="4"/>
  <c r="N18" i="4"/>
  <c r="J18" i="4"/>
  <c r="K18" i="4"/>
  <c r="I18" i="4"/>
  <c r="F18" i="4"/>
  <c r="G18" i="4"/>
  <c r="AJ17" i="4"/>
  <c r="AD17" i="4"/>
  <c r="S17" i="4"/>
  <c r="AC17" i="4"/>
  <c r="Z17" i="4"/>
  <c r="AB17" i="4"/>
  <c r="AA17" i="4"/>
  <c r="Y17" i="4"/>
  <c r="V17" i="4"/>
  <c r="R17" i="4"/>
  <c r="Q17" i="4"/>
  <c r="N17" i="4"/>
  <c r="J17" i="4"/>
  <c r="K17" i="4"/>
  <c r="I17" i="4"/>
  <c r="F17" i="4"/>
  <c r="G17" i="4"/>
  <c r="AJ16" i="4"/>
  <c r="AD16" i="4"/>
  <c r="S16" i="4"/>
  <c r="AC16" i="4"/>
  <c r="Z16" i="4"/>
  <c r="AB16" i="4"/>
  <c r="AA16" i="4"/>
  <c r="Y16" i="4"/>
  <c r="R16" i="4"/>
  <c r="Q16" i="4"/>
  <c r="N16" i="4"/>
  <c r="J16" i="4"/>
  <c r="K16" i="4"/>
  <c r="I16" i="4"/>
  <c r="F16" i="4"/>
  <c r="G16" i="4"/>
  <c r="AJ15" i="4"/>
  <c r="AD15" i="4"/>
  <c r="S15" i="4"/>
  <c r="AC15" i="4"/>
  <c r="Z15" i="4"/>
  <c r="AB15" i="4"/>
  <c r="AA15" i="4"/>
  <c r="Y15" i="4"/>
  <c r="V15" i="4"/>
  <c r="R15" i="4"/>
  <c r="Q15" i="4"/>
  <c r="N15" i="4"/>
  <c r="J15" i="4"/>
  <c r="K15" i="4"/>
  <c r="I15" i="4"/>
  <c r="F15" i="4"/>
  <c r="G15" i="4"/>
  <c r="AJ14" i="4"/>
  <c r="AD14" i="4"/>
  <c r="S14" i="4"/>
  <c r="AC14" i="4"/>
  <c r="Z14" i="4"/>
  <c r="AB14" i="4"/>
  <c r="AA14" i="4"/>
  <c r="Y14" i="4"/>
  <c r="V14" i="4"/>
  <c r="R14" i="4"/>
  <c r="Q14" i="4"/>
  <c r="N14" i="4"/>
  <c r="J14" i="4"/>
  <c r="K14" i="4"/>
  <c r="I14" i="4"/>
  <c r="F14" i="4"/>
  <c r="G14" i="4"/>
  <c r="AJ13" i="4"/>
  <c r="AD13" i="4"/>
  <c r="S13" i="4"/>
  <c r="AC13" i="4"/>
  <c r="Z13" i="4"/>
  <c r="AB13" i="4"/>
  <c r="AA13" i="4"/>
  <c r="Y13" i="4"/>
  <c r="V13" i="4"/>
  <c r="R13" i="4"/>
  <c r="Q13" i="4"/>
  <c r="N13" i="4"/>
  <c r="J13" i="4"/>
  <c r="K13" i="4"/>
  <c r="I13" i="4"/>
  <c r="F13" i="4"/>
  <c r="G13" i="4"/>
  <c r="AJ12" i="4"/>
  <c r="AD12" i="4"/>
  <c r="S12" i="4"/>
  <c r="AC12" i="4"/>
  <c r="Z12" i="4"/>
  <c r="AB12" i="4"/>
  <c r="AA12" i="4"/>
  <c r="Y12" i="4"/>
  <c r="V12" i="4"/>
  <c r="R12" i="4"/>
  <c r="Q12" i="4"/>
  <c r="N12" i="4"/>
  <c r="J12" i="4"/>
  <c r="K12" i="4"/>
  <c r="I12" i="4"/>
  <c r="F12" i="4"/>
  <c r="G12" i="4"/>
  <c r="AJ11" i="4"/>
  <c r="AD11" i="4"/>
  <c r="S11" i="4"/>
  <c r="AC11" i="4"/>
  <c r="Z11" i="4"/>
  <c r="AB11" i="4"/>
  <c r="AA11" i="4"/>
  <c r="Y11" i="4"/>
  <c r="V11" i="4"/>
  <c r="R11" i="4"/>
  <c r="Q11" i="4"/>
  <c r="N11" i="4"/>
  <c r="J11" i="4"/>
  <c r="K11" i="4"/>
  <c r="I11" i="4"/>
  <c r="F11" i="4"/>
  <c r="G11" i="4"/>
  <c r="AJ10" i="4"/>
  <c r="AD10" i="4"/>
  <c r="S10" i="4"/>
  <c r="AC10" i="4"/>
  <c r="Z10" i="4"/>
  <c r="AB10" i="4"/>
  <c r="AA10" i="4"/>
  <c r="Y10" i="4"/>
  <c r="V10" i="4"/>
  <c r="R10" i="4"/>
  <c r="Q10" i="4"/>
  <c r="N10" i="4"/>
  <c r="J10" i="4"/>
  <c r="K10" i="4"/>
  <c r="I10" i="4"/>
  <c r="F10" i="4"/>
  <c r="G10" i="4"/>
  <c r="AJ9" i="4"/>
  <c r="AD9" i="4"/>
  <c r="S9" i="4"/>
  <c r="AC9" i="4"/>
  <c r="Z9" i="4"/>
  <c r="AB9" i="4"/>
  <c r="AA9" i="4"/>
  <c r="Y9" i="4"/>
  <c r="V9" i="4"/>
  <c r="R9" i="4"/>
  <c r="Q9" i="4"/>
  <c r="N9" i="4"/>
  <c r="J9" i="4"/>
  <c r="K9" i="4"/>
  <c r="I9" i="4"/>
  <c r="F9" i="4"/>
  <c r="G9" i="4"/>
  <c r="AJ8" i="4"/>
  <c r="AD8" i="4"/>
  <c r="S8" i="4"/>
  <c r="AC8" i="4"/>
  <c r="Z8" i="4"/>
  <c r="AB8" i="4"/>
  <c r="AA8" i="4"/>
  <c r="Y8" i="4"/>
  <c r="V8" i="4"/>
  <c r="R8" i="4"/>
  <c r="Q8" i="4"/>
  <c r="N8" i="4"/>
  <c r="J8" i="4"/>
  <c r="K8" i="4"/>
  <c r="I8" i="4"/>
  <c r="F8" i="4"/>
  <c r="G8" i="4"/>
  <c r="AJ27" i="3"/>
  <c r="AD27" i="3"/>
  <c r="S27" i="3"/>
  <c r="AC27" i="3"/>
  <c r="Z27" i="3"/>
  <c r="AB27" i="3"/>
  <c r="AA27" i="3"/>
  <c r="Y27" i="3"/>
  <c r="V27" i="3"/>
  <c r="R27" i="3"/>
  <c r="Q27" i="3"/>
  <c r="N27" i="3"/>
  <c r="J27" i="3"/>
  <c r="K27" i="3"/>
  <c r="I27" i="3"/>
  <c r="F27" i="3"/>
  <c r="G27" i="3"/>
  <c r="AJ26" i="3"/>
  <c r="AD26" i="3"/>
  <c r="S26" i="3"/>
  <c r="AC26" i="3"/>
  <c r="Z26" i="3"/>
  <c r="AB26" i="3"/>
  <c r="AA26" i="3"/>
  <c r="Y26" i="3"/>
  <c r="V26" i="3"/>
  <c r="R26" i="3"/>
  <c r="Q26" i="3"/>
  <c r="N26" i="3"/>
  <c r="J26" i="3"/>
  <c r="K26" i="3"/>
  <c r="I26" i="3"/>
  <c r="F26" i="3"/>
  <c r="G26" i="3"/>
  <c r="AJ25" i="3"/>
  <c r="AD25" i="3"/>
  <c r="S25" i="3"/>
  <c r="AC25" i="3"/>
  <c r="Z25" i="3"/>
  <c r="AB25" i="3"/>
  <c r="AA25" i="3"/>
  <c r="Y25" i="3"/>
  <c r="V25" i="3"/>
  <c r="R25" i="3"/>
  <c r="Q25" i="3"/>
  <c r="N25" i="3"/>
  <c r="J25" i="3"/>
  <c r="K25" i="3"/>
  <c r="I25" i="3"/>
  <c r="F25" i="3"/>
  <c r="G25" i="3"/>
  <c r="AJ24" i="3"/>
  <c r="AD24" i="3"/>
  <c r="S24" i="3"/>
  <c r="AC24" i="3"/>
  <c r="Z24" i="3"/>
  <c r="AB24" i="3"/>
  <c r="AA24" i="3"/>
  <c r="Y24" i="3"/>
  <c r="V24" i="3"/>
  <c r="R24" i="3"/>
  <c r="Q24" i="3"/>
  <c r="N24" i="3"/>
  <c r="J24" i="3"/>
  <c r="K24" i="3"/>
  <c r="I24" i="3"/>
  <c r="F24" i="3"/>
  <c r="G24" i="3"/>
  <c r="AJ23" i="3"/>
  <c r="AD23" i="3"/>
  <c r="S23" i="3"/>
  <c r="AC23" i="3"/>
  <c r="Z23" i="3"/>
  <c r="AB23" i="3"/>
  <c r="AA23" i="3"/>
  <c r="Y23" i="3"/>
  <c r="V23" i="3"/>
  <c r="R23" i="3"/>
  <c r="Q23" i="3"/>
  <c r="N23" i="3"/>
  <c r="J23" i="3"/>
  <c r="K23" i="3"/>
  <c r="I23" i="3"/>
  <c r="F23" i="3"/>
  <c r="G23" i="3"/>
  <c r="AJ22" i="3"/>
  <c r="AD22" i="3"/>
  <c r="S22" i="3"/>
  <c r="AC22" i="3"/>
  <c r="Z22" i="3"/>
  <c r="AB22" i="3"/>
  <c r="AA22" i="3"/>
  <c r="Y22" i="3"/>
  <c r="V22" i="3"/>
  <c r="R22" i="3"/>
  <c r="Q22" i="3"/>
  <c r="N22" i="3"/>
  <c r="J22" i="3"/>
  <c r="K22" i="3"/>
  <c r="I22" i="3"/>
  <c r="F22" i="3"/>
  <c r="G22" i="3"/>
  <c r="AJ21" i="3"/>
  <c r="AD21" i="3"/>
  <c r="S21" i="3"/>
  <c r="AC21" i="3"/>
  <c r="Z21" i="3"/>
  <c r="AB21" i="3"/>
  <c r="AA21" i="3"/>
  <c r="Y21" i="3"/>
  <c r="V21" i="3"/>
  <c r="R21" i="3"/>
  <c r="Q21" i="3"/>
  <c r="N21" i="3"/>
  <c r="J21" i="3"/>
  <c r="K21" i="3"/>
  <c r="I21" i="3"/>
  <c r="F21" i="3"/>
  <c r="G21" i="3"/>
  <c r="AJ20" i="3"/>
  <c r="AD20" i="3"/>
  <c r="S20" i="3"/>
  <c r="AC20" i="3"/>
  <c r="Z20" i="3"/>
  <c r="AB20" i="3"/>
  <c r="AA20" i="3"/>
  <c r="Y20" i="3"/>
  <c r="V20" i="3"/>
  <c r="R20" i="3"/>
  <c r="Q20" i="3"/>
  <c r="N20" i="3"/>
  <c r="J20" i="3"/>
  <c r="K20" i="3"/>
  <c r="I20" i="3"/>
  <c r="F20" i="3"/>
  <c r="G20" i="3"/>
  <c r="AJ19" i="3"/>
  <c r="AD19" i="3"/>
  <c r="S19" i="3"/>
  <c r="AC19" i="3"/>
  <c r="Z19" i="3"/>
  <c r="AB19" i="3"/>
  <c r="AA19" i="3"/>
  <c r="Y19" i="3"/>
  <c r="V19" i="3"/>
  <c r="R19" i="3"/>
  <c r="Q19" i="3"/>
  <c r="N19" i="3"/>
  <c r="J19" i="3"/>
  <c r="K19" i="3"/>
  <c r="I19" i="3"/>
  <c r="F19" i="3"/>
  <c r="G19" i="3"/>
  <c r="AJ18" i="3"/>
  <c r="AD18" i="3"/>
  <c r="S18" i="3"/>
  <c r="AC18" i="3"/>
  <c r="Z18" i="3"/>
  <c r="AB18" i="3"/>
  <c r="AA18" i="3"/>
  <c r="Y18" i="3"/>
  <c r="V18" i="3"/>
  <c r="R18" i="3"/>
  <c r="Q18" i="3"/>
  <c r="N18" i="3"/>
  <c r="J18" i="3"/>
  <c r="K18" i="3"/>
  <c r="I18" i="3"/>
  <c r="F18" i="3"/>
  <c r="G18" i="3"/>
  <c r="AJ17" i="3"/>
  <c r="AD17" i="3"/>
  <c r="S17" i="3"/>
  <c r="AC17" i="3"/>
  <c r="Z17" i="3"/>
  <c r="AB17" i="3"/>
  <c r="AA17" i="3"/>
  <c r="Y17" i="3"/>
  <c r="V17" i="3"/>
  <c r="R17" i="3"/>
  <c r="Q17" i="3"/>
  <c r="N17" i="3"/>
  <c r="J17" i="3"/>
  <c r="K17" i="3"/>
  <c r="I17" i="3"/>
  <c r="F17" i="3"/>
  <c r="G17" i="3"/>
  <c r="AJ16" i="3"/>
  <c r="AD16" i="3"/>
  <c r="S16" i="3"/>
  <c r="AC16" i="3"/>
  <c r="Z16" i="3"/>
  <c r="AB16" i="3"/>
  <c r="AA16" i="3"/>
  <c r="Y16" i="3"/>
  <c r="V16" i="3"/>
  <c r="R16" i="3"/>
  <c r="Q16" i="3"/>
  <c r="N16" i="3"/>
  <c r="J16" i="3"/>
  <c r="K16" i="3"/>
  <c r="I16" i="3"/>
  <c r="F16" i="3"/>
  <c r="G16" i="3"/>
  <c r="AJ15" i="3"/>
  <c r="AD15" i="3"/>
  <c r="S15" i="3"/>
  <c r="AC15" i="3"/>
  <c r="Z15" i="3"/>
  <c r="AB15" i="3"/>
  <c r="AA15" i="3"/>
  <c r="Y15" i="3"/>
  <c r="V15" i="3"/>
  <c r="R15" i="3"/>
  <c r="Q15" i="3"/>
  <c r="N15" i="3"/>
  <c r="J15" i="3"/>
  <c r="K15" i="3"/>
  <c r="I15" i="3"/>
  <c r="F15" i="3"/>
  <c r="G15" i="3"/>
  <c r="AJ14" i="3"/>
  <c r="AD14" i="3"/>
  <c r="S14" i="3"/>
  <c r="AC14" i="3"/>
  <c r="Z14" i="3"/>
  <c r="AB14" i="3"/>
  <c r="AA14" i="3"/>
  <c r="Y14" i="3"/>
  <c r="V14" i="3"/>
  <c r="R14" i="3"/>
  <c r="Q14" i="3"/>
  <c r="N14" i="3"/>
  <c r="J14" i="3"/>
  <c r="K14" i="3"/>
  <c r="I14" i="3"/>
  <c r="F14" i="3"/>
  <c r="G14" i="3"/>
  <c r="AJ13" i="3"/>
  <c r="AD13" i="3"/>
  <c r="S13" i="3"/>
  <c r="AC13" i="3"/>
  <c r="Z13" i="3"/>
  <c r="AB13" i="3"/>
  <c r="AA13" i="3"/>
  <c r="Y13" i="3"/>
  <c r="V13" i="3"/>
  <c r="R13" i="3"/>
  <c r="Q13" i="3"/>
  <c r="N13" i="3"/>
  <c r="J13" i="3"/>
  <c r="K13" i="3"/>
  <c r="I13" i="3"/>
  <c r="F13" i="3"/>
  <c r="G13" i="3"/>
  <c r="AJ12" i="3"/>
  <c r="AD12" i="3"/>
  <c r="S12" i="3"/>
  <c r="AC12" i="3"/>
  <c r="Z12" i="3"/>
  <c r="AB12" i="3"/>
  <c r="AA12" i="3"/>
  <c r="Y12" i="3"/>
  <c r="V12" i="3"/>
  <c r="R12" i="3"/>
  <c r="Q12" i="3"/>
  <c r="N12" i="3"/>
  <c r="J12" i="3"/>
  <c r="K12" i="3"/>
  <c r="I12" i="3"/>
  <c r="F12" i="3"/>
  <c r="G12" i="3"/>
  <c r="AJ11" i="3"/>
  <c r="AD11" i="3"/>
  <c r="S11" i="3"/>
  <c r="AC11" i="3"/>
  <c r="Z11" i="3"/>
  <c r="AB11" i="3"/>
  <c r="AA11" i="3"/>
  <c r="Y11" i="3"/>
  <c r="V11" i="3"/>
  <c r="R11" i="3"/>
  <c r="Q11" i="3"/>
  <c r="N11" i="3"/>
  <c r="J11" i="3"/>
  <c r="K11" i="3"/>
  <c r="I11" i="3"/>
  <c r="F11" i="3"/>
  <c r="G11" i="3"/>
  <c r="AJ10" i="3"/>
  <c r="AD10" i="3"/>
  <c r="S10" i="3"/>
  <c r="AC10" i="3"/>
  <c r="Z10" i="3"/>
  <c r="AB10" i="3"/>
  <c r="AA10" i="3"/>
  <c r="Y10" i="3"/>
  <c r="V10" i="3"/>
  <c r="R10" i="3"/>
  <c r="Q10" i="3"/>
  <c r="N10" i="3"/>
  <c r="J10" i="3"/>
  <c r="K10" i="3"/>
  <c r="I10" i="3"/>
  <c r="F10" i="3"/>
  <c r="G10" i="3"/>
  <c r="AJ9" i="3"/>
  <c r="AD9" i="3"/>
  <c r="S9" i="3"/>
  <c r="AC9" i="3"/>
  <c r="Z9" i="3"/>
  <c r="AB9" i="3"/>
  <c r="AA9" i="3"/>
  <c r="Y9" i="3"/>
  <c r="V9" i="3"/>
  <c r="R9" i="3"/>
  <c r="Q9" i="3"/>
  <c r="N9" i="3"/>
  <c r="J9" i="3"/>
  <c r="K9" i="3"/>
  <c r="I9" i="3"/>
  <c r="F9" i="3"/>
  <c r="G9" i="3"/>
  <c r="AJ8" i="3"/>
  <c r="AD8" i="3"/>
  <c r="S8" i="3"/>
  <c r="AC8" i="3"/>
  <c r="Z8" i="3"/>
  <c r="AB8" i="3"/>
  <c r="AA8" i="3"/>
  <c r="Y8" i="3"/>
  <c r="V8" i="3"/>
  <c r="R8" i="3"/>
  <c r="Q8" i="3"/>
  <c r="N8" i="3"/>
  <c r="J8" i="3"/>
  <c r="K8" i="3"/>
  <c r="I8" i="3"/>
  <c r="F8" i="3"/>
  <c r="G8" i="3"/>
  <c r="AJ27" i="2"/>
  <c r="AD27" i="2"/>
  <c r="S27" i="2"/>
  <c r="AC27" i="2"/>
  <c r="Z27" i="2"/>
  <c r="AB27" i="2"/>
  <c r="AA27" i="2"/>
  <c r="Y27" i="2"/>
  <c r="V27" i="2"/>
  <c r="R27" i="2"/>
  <c r="Q27" i="2"/>
  <c r="N27" i="2"/>
  <c r="J27" i="2"/>
  <c r="K27" i="2"/>
  <c r="I27" i="2"/>
  <c r="F27" i="2"/>
  <c r="G27" i="2"/>
  <c r="AJ26" i="2"/>
  <c r="AD26" i="2"/>
  <c r="S26" i="2"/>
  <c r="AC26" i="2"/>
  <c r="Z26" i="2"/>
  <c r="AB26" i="2"/>
  <c r="AA26" i="2"/>
  <c r="Y26" i="2"/>
  <c r="U26" i="2"/>
  <c r="V26" i="2"/>
  <c r="R26" i="2"/>
  <c r="Q26" i="2"/>
  <c r="N26" i="2"/>
  <c r="J26" i="2"/>
  <c r="K26" i="2"/>
  <c r="I26" i="2"/>
  <c r="F26" i="2"/>
  <c r="G26" i="2"/>
  <c r="AJ25" i="2"/>
  <c r="AD25" i="2"/>
  <c r="S25" i="2"/>
  <c r="AC25" i="2"/>
  <c r="Z25" i="2"/>
  <c r="AB25" i="2"/>
  <c r="AA25" i="2"/>
  <c r="Y25" i="2"/>
  <c r="V25" i="2"/>
  <c r="R25" i="2"/>
  <c r="Q25" i="2"/>
  <c r="N25" i="2"/>
  <c r="J25" i="2"/>
  <c r="K25" i="2"/>
  <c r="I25" i="2"/>
  <c r="F25" i="2"/>
  <c r="G25" i="2"/>
  <c r="AJ24" i="2"/>
  <c r="AD24" i="2"/>
  <c r="S24" i="2"/>
  <c r="AC24" i="2"/>
  <c r="Z24" i="2"/>
  <c r="AB24" i="2"/>
  <c r="AA24" i="2"/>
  <c r="Y24" i="2"/>
  <c r="V24" i="2"/>
  <c r="R24" i="2"/>
  <c r="Q24" i="2"/>
  <c r="N24" i="2"/>
  <c r="J24" i="2"/>
  <c r="K24" i="2"/>
  <c r="I24" i="2"/>
  <c r="F24" i="2"/>
  <c r="G24" i="2"/>
  <c r="AJ23" i="2"/>
  <c r="AD23" i="2"/>
  <c r="S23" i="2"/>
  <c r="AC23" i="2"/>
  <c r="Z23" i="2"/>
  <c r="AB23" i="2"/>
  <c r="AA23" i="2"/>
  <c r="Y23" i="2"/>
  <c r="V23" i="2"/>
  <c r="R23" i="2"/>
  <c r="Q23" i="2"/>
  <c r="N23" i="2"/>
  <c r="J23" i="2"/>
  <c r="K23" i="2"/>
  <c r="I23" i="2"/>
  <c r="F23" i="2"/>
  <c r="G23" i="2"/>
  <c r="AJ22" i="2"/>
  <c r="AD22" i="2"/>
  <c r="S22" i="2"/>
  <c r="AC22" i="2"/>
  <c r="Z22" i="2"/>
  <c r="AB22" i="2"/>
  <c r="AA22" i="2"/>
  <c r="Y22" i="2"/>
  <c r="V22" i="2"/>
  <c r="R22" i="2"/>
  <c r="Q22" i="2"/>
  <c r="N22" i="2"/>
  <c r="J22" i="2"/>
  <c r="K22" i="2"/>
  <c r="I22" i="2"/>
  <c r="F22" i="2"/>
  <c r="G22" i="2"/>
  <c r="AJ21" i="2"/>
  <c r="AD21" i="2"/>
  <c r="S21" i="2"/>
  <c r="AC21" i="2"/>
  <c r="Z21" i="2"/>
  <c r="AB21" i="2"/>
  <c r="AA21" i="2"/>
  <c r="Y21" i="2"/>
  <c r="V21" i="2"/>
  <c r="R21" i="2"/>
  <c r="N21" i="2"/>
  <c r="J21" i="2"/>
  <c r="K21" i="2"/>
  <c r="I21" i="2"/>
  <c r="F21" i="2"/>
  <c r="G21" i="2"/>
  <c r="AJ20" i="2"/>
  <c r="AD20" i="2"/>
  <c r="S20" i="2"/>
  <c r="AC20" i="2"/>
  <c r="Z20" i="2"/>
  <c r="AB20" i="2"/>
  <c r="AA20" i="2"/>
  <c r="Y20" i="2"/>
  <c r="V20" i="2"/>
  <c r="R20" i="2"/>
  <c r="Q20" i="2"/>
  <c r="N20" i="2"/>
  <c r="J20" i="2"/>
  <c r="K20" i="2"/>
  <c r="I20" i="2"/>
  <c r="F20" i="2"/>
  <c r="G20" i="2"/>
  <c r="AJ19" i="2"/>
  <c r="AD19" i="2"/>
  <c r="S19" i="2"/>
  <c r="AC19" i="2"/>
  <c r="Z19" i="2"/>
  <c r="AB19" i="2"/>
  <c r="AA19" i="2"/>
  <c r="Y19" i="2"/>
  <c r="V19" i="2"/>
  <c r="R19" i="2"/>
  <c r="Q19" i="2"/>
  <c r="N19" i="2"/>
  <c r="J19" i="2"/>
  <c r="K19" i="2"/>
  <c r="I19" i="2"/>
  <c r="F19" i="2"/>
  <c r="G19" i="2"/>
  <c r="AJ18" i="2"/>
  <c r="AD18" i="2"/>
  <c r="S18" i="2"/>
  <c r="AC18" i="2"/>
  <c r="Z18" i="2"/>
  <c r="AB18" i="2"/>
  <c r="AA18" i="2"/>
  <c r="Y18" i="2"/>
  <c r="V18" i="2"/>
  <c r="R18" i="2"/>
  <c r="Q18" i="2"/>
  <c r="N18" i="2"/>
  <c r="J18" i="2"/>
  <c r="K18" i="2"/>
  <c r="I18" i="2"/>
  <c r="F18" i="2"/>
  <c r="G18" i="2"/>
  <c r="AJ17" i="2"/>
  <c r="AD17" i="2"/>
  <c r="S17" i="2"/>
  <c r="AC17" i="2"/>
  <c r="Z17" i="2"/>
  <c r="AB17" i="2"/>
  <c r="AA17" i="2"/>
  <c r="Y17" i="2"/>
  <c r="V17" i="2"/>
  <c r="R17" i="2"/>
  <c r="Q17" i="2"/>
  <c r="N17" i="2"/>
  <c r="J17" i="2"/>
  <c r="K17" i="2"/>
  <c r="I17" i="2"/>
  <c r="F17" i="2"/>
  <c r="G17" i="2"/>
  <c r="AJ16" i="2"/>
  <c r="AD16" i="2"/>
  <c r="S16" i="2"/>
  <c r="AC16" i="2"/>
  <c r="Z16" i="2"/>
  <c r="AB16" i="2"/>
  <c r="AA16" i="2"/>
  <c r="Y16" i="2"/>
  <c r="V16" i="2"/>
  <c r="R16" i="2"/>
  <c r="Q16" i="2"/>
  <c r="N16" i="2"/>
  <c r="J16" i="2"/>
  <c r="K16" i="2"/>
  <c r="I16" i="2"/>
  <c r="F16" i="2"/>
  <c r="G16" i="2"/>
  <c r="AJ15" i="2"/>
  <c r="AD15" i="2"/>
  <c r="S15" i="2"/>
  <c r="AC15" i="2"/>
  <c r="Z15" i="2"/>
  <c r="AB15" i="2"/>
  <c r="AA15" i="2"/>
  <c r="Y15" i="2"/>
  <c r="V15" i="2"/>
  <c r="R15" i="2"/>
  <c r="Q15" i="2"/>
  <c r="N15" i="2"/>
  <c r="J15" i="2"/>
  <c r="K15" i="2"/>
  <c r="I15" i="2"/>
  <c r="F15" i="2"/>
  <c r="G15" i="2"/>
  <c r="AJ14" i="2"/>
  <c r="AD14" i="2"/>
  <c r="S14" i="2"/>
  <c r="AC14" i="2"/>
  <c r="Z14" i="2"/>
  <c r="AB14" i="2"/>
  <c r="AA14" i="2"/>
  <c r="Y14" i="2"/>
  <c r="V14" i="2"/>
  <c r="R14" i="2"/>
  <c r="Q14" i="2"/>
  <c r="N14" i="2"/>
  <c r="J14" i="2"/>
  <c r="K14" i="2"/>
  <c r="I14" i="2"/>
  <c r="F14" i="2"/>
  <c r="G14" i="2"/>
  <c r="AJ13" i="2"/>
  <c r="AD13" i="2"/>
  <c r="S13" i="2"/>
  <c r="AC13" i="2"/>
  <c r="Z13" i="2"/>
  <c r="AB13" i="2"/>
  <c r="AA13" i="2"/>
  <c r="Y13" i="2"/>
  <c r="V13" i="2"/>
  <c r="R13" i="2"/>
  <c r="Q13" i="2"/>
  <c r="N13" i="2"/>
  <c r="J13" i="2"/>
  <c r="K13" i="2"/>
  <c r="I13" i="2"/>
  <c r="F13" i="2"/>
  <c r="G13" i="2"/>
  <c r="AJ12" i="2"/>
  <c r="AD12" i="2"/>
  <c r="S12" i="2"/>
  <c r="AC12" i="2"/>
  <c r="Z12" i="2"/>
  <c r="AB12" i="2"/>
  <c r="AA12" i="2"/>
  <c r="Y12" i="2"/>
  <c r="V12" i="2"/>
  <c r="R12" i="2"/>
  <c r="Q12" i="2"/>
  <c r="N12" i="2"/>
  <c r="J12" i="2"/>
  <c r="K12" i="2"/>
  <c r="I12" i="2"/>
  <c r="F12" i="2"/>
  <c r="G12" i="2"/>
  <c r="AJ11" i="2"/>
  <c r="AD11" i="2"/>
  <c r="S11" i="2"/>
  <c r="AC11" i="2"/>
  <c r="Z11" i="2"/>
  <c r="AB11" i="2"/>
  <c r="AA11" i="2"/>
  <c r="Y11" i="2"/>
  <c r="V11" i="2"/>
  <c r="R11" i="2"/>
  <c r="Q11" i="2"/>
  <c r="N11" i="2"/>
  <c r="J11" i="2"/>
  <c r="K11" i="2"/>
  <c r="I11" i="2"/>
  <c r="F11" i="2"/>
  <c r="G11" i="2"/>
  <c r="AJ10" i="2"/>
  <c r="AD10" i="2"/>
  <c r="S10" i="2"/>
  <c r="AC10" i="2"/>
  <c r="Z10" i="2"/>
  <c r="AB10" i="2"/>
  <c r="AA10" i="2"/>
  <c r="Y10" i="2"/>
  <c r="V10" i="2"/>
  <c r="R10" i="2"/>
  <c r="Q10" i="2"/>
  <c r="N10" i="2"/>
  <c r="J10" i="2"/>
  <c r="K10" i="2"/>
  <c r="I10" i="2"/>
  <c r="F10" i="2"/>
  <c r="G10" i="2"/>
  <c r="AJ9" i="2"/>
  <c r="AD9" i="2"/>
  <c r="S9" i="2"/>
  <c r="AC9" i="2"/>
  <c r="Z9" i="2"/>
  <c r="AB9" i="2"/>
  <c r="AA9" i="2"/>
  <c r="Y9" i="2"/>
  <c r="V9" i="2"/>
  <c r="R9" i="2"/>
  <c r="Q9" i="2"/>
  <c r="N9" i="2"/>
  <c r="J9" i="2"/>
  <c r="K9" i="2"/>
  <c r="I9" i="2"/>
  <c r="F9" i="2"/>
  <c r="G9" i="2"/>
  <c r="AJ8" i="2"/>
  <c r="AD8" i="2"/>
  <c r="S8" i="2"/>
  <c r="AC8" i="2"/>
  <c r="Z8" i="2"/>
  <c r="AB8" i="2"/>
  <c r="AA8" i="2"/>
  <c r="Y8" i="2"/>
  <c r="V8" i="2"/>
  <c r="R8" i="2"/>
  <c r="Q8" i="2"/>
  <c r="N8" i="2"/>
  <c r="J8" i="2"/>
  <c r="K8" i="2"/>
  <c r="I8" i="2"/>
  <c r="F8" i="2"/>
  <c r="G8" i="2"/>
  <c r="AJ27" i="1"/>
  <c r="AD27" i="1"/>
  <c r="S27" i="1"/>
  <c r="AC27" i="1"/>
  <c r="Z27" i="1"/>
  <c r="AB27" i="1"/>
  <c r="AA27" i="1"/>
  <c r="Y27" i="1"/>
  <c r="V27" i="1"/>
  <c r="R27" i="1"/>
  <c r="Q27" i="1"/>
  <c r="N27" i="1"/>
  <c r="J27" i="1"/>
  <c r="K27" i="1"/>
  <c r="I27" i="1"/>
  <c r="F27" i="1"/>
  <c r="G27" i="1"/>
  <c r="AJ26" i="1"/>
  <c r="AD26" i="1"/>
  <c r="S26" i="1"/>
  <c r="AC26" i="1"/>
  <c r="Z26" i="1"/>
  <c r="AB26" i="1"/>
  <c r="AA26" i="1"/>
  <c r="Y26" i="1"/>
  <c r="V26" i="1"/>
  <c r="R26" i="1"/>
  <c r="Q26" i="1"/>
  <c r="N26" i="1"/>
  <c r="J26" i="1"/>
  <c r="K26" i="1"/>
  <c r="I26" i="1"/>
  <c r="F26" i="1"/>
  <c r="G26" i="1"/>
  <c r="AJ25" i="1"/>
  <c r="AD25" i="1"/>
  <c r="S25" i="1"/>
  <c r="AC25" i="1"/>
  <c r="Z25" i="1"/>
  <c r="AB25" i="1"/>
  <c r="AA25" i="1"/>
  <c r="Y25" i="1"/>
  <c r="V25" i="1"/>
  <c r="R25" i="1"/>
  <c r="Q25" i="1"/>
  <c r="N25" i="1"/>
  <c r="J25" i="1"/>
  <c r="K25" i="1"/>
  <c r="I25" i="1"/>
  <c r="F25" i="1"/>
  <c r="G25" i="1"/>
  <c r="AJ24" i="1"/>
  <c r="AD24" i="1"/>
  <c r="S24" i="1"/>
  <c r="AC24" i="1"/>
  <c r="Z24" i="1"/>
  <c r="AB24" i="1"/>
  <c r="AA24" i="1"/>
  <c r="Y24" i="1"/>
  <c r="V24" i="1"/>
  <c r="R24" i="1"/>
  <c r="Q24" i="1"/>
  <c r="N24" i="1"/>
  <c r="J24" i="1"/>
  <c r="K24" i="1"/>
  <c r="I24" i="1"/>
  <c r="F24" i="1"/>
  <c r="G24" i="1"/>
  <c r="AJ23" i="1"/>
  <c r="AD23" i="1"/>
  <c r="S23" i="1"/>
  <c r="AC23" i="1"/>
  <c r="Z23" i="1"/>
  <c r="AB23" i="1"/>
  <c r="AA23" i="1"/>
  <c r="Y23" i="1"/>
  <c r="V23" i="1"/>
  <c r="R23" i="1"/>
  <c r="Q23" i="1"/>
  <c r="N23" i="1"/>
  <c r="K23" i="1"/>
  <c r="I23" i="1"/>
  <c r="F23" i="1"/>
  <c r="G23" i="1"/>
  <c r="AJ22" i="1"/>
  <c r="AD22" i="1"/>
  <c r="S22" i="1"/>
  <c r="AC22" i="1"/>
  <c r="Z22" i="1"/>
  <c r="AB22" i="1"/>
  <c r="AA22" i="1"/>
  <c r="Y22" i="1"/>
  <c r="V22" i="1"/>
  <c r="R22" i="1"/>
  <c r="Q22" i="1"/>
  <c r="N22" i="1"/>
  <c r="J22" i="1"/>
  <c r="K22" i="1"/>
  <c r="I22" i="1"/>
  <c r="F22" i="1"/>
  <c r="G22" i="1"/>
  <c r="AJ21" i="1"/>
  <c r="AD21" i="1"/>
  <c r="S21" i="1"/>
  <c r="AC21" i="1"/>
  <c r="Z21" i="1"/>
  <c r="AB21" i="1"/>
  <c r="AA21" i="1"/>
  <c r="Y21" i="1"/>
  <c r="V21" i="1"/>
  <c r="R21" i="1"/>
  <c r="Q21" i="1"/>
  <c r="N21" i="1"/>
  <c r="J21" i="1"/>
  <c r="K21" i="1"/>
  <c r="I21" i="1"/>
  <c r="F21" i="1"/>
  <c r="G21" i="1"/>
  <c r="AJ20" i="1"/>
  <c r="AD20" i="1"/>
  <c r="S20" i="1"/>
  <c r="AC20" i="1"/>
  <c r="Z20" i="1"/>
  <c r="AB20" i="1"/>
  <c r="AA20" i="1"/>
  <c r="Y20" i="1"/>
  <c r="V20" i="1"/>
  <c r="R20" i="1"/>
  <c r="Q20" i="1"/>
  <c r="N20" i="1"/>
  <c r="K20" i="1"/>
  <c r="I20" i="1"/>
  <c r="F20" i="1"/>
  <c r="G20" i="1"/>
  <c r="AJ19" i="1"/>
  <c r="AD19" i="1"/>
  <c r="S19" i="1"/>
  <c r="AC19" i="1"/>
  <c r="Z19" i="1"/>
  <c r="AB19" i="1"/>
  <c r="AA19" i="1"/>
  <c r="Y19" i="1"/>
  <c r="V19" i="1"/>
  <c r="R19" i="1"/>
  <c r="Q19" i="1"/>
  <c r="N19" i="1"/>
  <c r="K19" i="1"/>
  <c r="I19" i="1"/>
  <c r="F19" i="1"/>
  <c r="G19" i="1"/>
  <c r="AJ18" i="1"/>
  <c r="AD18" i="1"/>
  <c r="S18" i="1"/>
  <c r="AC18" i="1"/>
  <c r="Z18" i="1"/>
  <c r="AB18" i="1"/>
  <c r="AA18" i="1"/>
  <c r="Y18" i="1"/>
  <c r="V18" i="1"/>
  <c r="R18" i="1"/>
  <c r="Q18" i="1"/>
  <c r="N18" i="1"/>
  <c r="J18" i="1"/>
  <c r="K18" i="1"/>
  <c r="I18" i="1"/>
  <c r="F18" i="1"/>
  <c r="G18" i="1"/>
  <c r="AJ17" i="1"/>
  <c r="AD17" i="1"/>
  <c r="S17" i="1"/>
  <c r="AC17" i="1"/>
  <c r="Z17" i="1"/>
  <c r="AB17" i="1"/>
  <c r="AA17" i="1"/>
  <c r="Y17" i="1"/>
  <c r="V17" i="1"/>
  <c r="R17" i="1"/>
  <c r="Q17" i="1"/>
  <c r="N17" i="1"/>
  <c r="K17" i="1"/>
  <c r="I17" i="1"/>
  <c r="F17" i="1"/>
  <c r="G17" i="1"/>
  <c r="AJ16" i="1"/>
  <c r="AD16" i="1"/>
  <c r="S16" i="1"/>
  <c r="AC16" i="1"/>
  <c r="Z16" i="1"/>
  <c r="AB16" i="1"/>
  <c r="AA16" i="1"/>
  <c r="D16" i="1"/>
  <c r="Y16" i="1"/>
  <c r="V16" i="1"/>
  <c r="R16" i="1"/>
  <c r="Q16" i="1"/>
  <c r="N16" i="1"/>
  <c r="K16" i="1"/>
  <c r="I16" i="1"/>
  <c r="F16" i="1"/>
  <c r="G16" i="1"/>
  <c r="AJ15" i="1"/>
  <c r="AD15" i="1"/>
  <c r="S15" i="1"/>
  <c r="AC15" i="1"/>
  <c r="Z15" i="1"/>
  <c r="AB15" i="1"/>
  <c r="AA15" i="1"/>
  <c r="Y15" i="1"/>
  <c r="V15" i="1"/>
  <c r="R15" i="1"/>
  <c r="Q15" i="1"/>
  <c r="N15" i="1"/>
  <c r="J15" i="1"/>
  <c r="K15" i="1"/>
  <c r="I15" i="1"/>
  <c r="F15" i="1"/>
  <c r="G15" i="1"/>
  <c r="AJ14" i="1"/>
  <c r="AD14" i="1"/>
  <c r="S14" i="1"/>
  <c r="AC14" i="1"/>
  <c r="Z14" i="1"/>
  <c r="AB14" i="1"/>
  <c r="AA14" i="1"/>
  <c r="Y14" i="1"/>
  <c r="V14" i="1"/>
  <c r="R14" i="1"/>
  <c r="N14" i="1"/>
  <c r="K14" i="1"/>
  <c r="I14" i="1"/>
  <c r="F14" i="1"/>
  <c r="G14" i="1"/>
  <c r="AJ13" i="1"/>
  <c r="AD13" i="1"/>
  <c r="S13" i="1"/>
  <c r="AC13" i="1"/>
  <c r="Z13" i="1"/>
  <c r="AB13" i="1"/>
  <c r="AA13" i="1"/>
  <c r="Y13" i="1"/>
  <c r="V13" i="1"/>
  <c r="R13" i="1"/>
  <c r="N13" i="1"/>
  <c r="K13" i="1"/>
  <c r="I13" i="1"/>
  <c r="F13" i="1"/>
  <c r="G13" i="1"/>
  <c r="AJ12" i="1"/>
  <c r="AD12" i="1"/>
  <c r="S12" i="1"/>
  <c r="AC12" i="1"/>
  <c r="Z12" i="1"/>
  <c r="AB12" i="1"/>
  <c r="AA12" i="1"/>
  <c r="Y12" i="1"/>
  <c r="V12" i="1"/>
  <c r="R12" i="1"/>
  <c r="N12" i="1"/>
  <c r="K12" i="1"/>
  <c r="I12" i="1"/>
  <c r="F12" i="1"/>
  <c r="G12" i="1"/>
  <c r="AJ11" i="1"/>
  <c r="AD11" i="1"/>
  <c r="S11" i="1"/>
  <c r="AC11" i="1"/>
  <c r="Z11" i="1"/>
  <c r="AB11" i="1"/>
  <c r="AA11" i="1"/>
  <c r="Y11" i="1"/>
  <c r="V11" i="1"/>
  <c r="R11" i="1"/>
  <c r="N11" i="1"/>
  <c r="K11" i="1"/>
  <c r="I11" i="1"/>
  <c r="F11" i="1"/>
  <c r="G11" i="1"/>
  <c r="AJ10" i="1"/>
  <c r="AD10" i="1"/>
  <c r="S10" i="1"/>
  <c r="AC10" i="1"/>
  <c r="Z10" i="1"/>
  <c r="AB10" i="1"/>
  <c r="AA10" i="1"/>
  <c r="Y10" i="1"/>
  <c r="V10" i="1"/>
  <c r="R10" i="1"/>
  <c r="Q10" i="1"/>
  <c r="N10" i="1"/>
  <c r="J10" i="1"/>
  <c r="K10" i="1"/>
  <c r="I10" i="1"/>
  <c r="F10" i="1"/>
  <c r="G10" i="1"/>
  <c r="AJ9" i="1"/>
  <c r="AD9" i="1"/>
  <c r="S9" i="1"/>
  <c r="AC9" i="1"/>
  <c r="Z9" i="1"/>
  <c r="AB9" i="1"/>
  <c r="AA9" i="1"/>
  <c r="Y9" i="1"/>
  <c r="V9" i="1"/>
  <c r="R9" i="1"/>
  <c r="Q9" i="1"/>
  <c r="N9" i="1"/>
  <c r="J9" i="1"/>
  <c r="K9" i="1"/>
  <c r="I9" i="1"/>
  <c r="F9" i="1"/>
  <c r="G9" i="1"/>
  <c r="AJ8" i="1"/>
  <c r="AD8" i="1"/>
  <c r="S8" i="1"/>
  <c r="AC8" i="1"/>
  <c r="Z8" i="1"/>
  <c r="AB8" i="1"/>
  <c r="AA8" i="1"/>
  <c r="Y8" i="1"/>
  <c r="V8" i="1"/>
  <c r="R8" i="1"/>
  <c r="N8" i="1"/>
  <c r="K8" i="1"/>
  <c r="I8" i="1"/>
  <c r="F8" i="1"/>
  <c r="G8" i="1"/>
</calcChain>
</file>

<file path=xl/sharedStrings.xml><?xml version="1.0" encoding="utf-8"?>
<sst xmlns="http://schemas.openxmlformats.org/spreadsheetml/2006/main" count="405" uniqueCount="163">
  <si>
    <t>ESTADÍSTICAS AVANZADAS - BASES</t>
  </si>
  <si>
    <t>RENDIMIENTO DE LOS 20 JUGADORES DE MAYOR VALORACIÓN EN EL PUESTO (SOBRE UN TOTAL DE 63 BASES)</t>
  </si>
  <si>
    <t xml:space="preserve">NOMBRE </t>
  </si>
  <si>
    <t>PJ</t>
  </si>
  <si>
    <t>MJ</t>
  </si>
  <si>
    <t>P.E.R.</t>
  </si>
  <si>
    <t>EFECTIVIDAD EN</t>
  </si>
  <si>
    <t>TIROS DE CAMPO</t>
  </si>
  <si>
    <t>EN RELACIÓN A LOS</t>
  </si>
  <si>
    <t>3P FG%</t>
  </si>
  <si>
    <t>% TRR</t>
  </si>
  <si>
    <t>OFFENSIVE RATTING</t>
  </si>
  <si>
    <t xml:space="preserve">% TS </t>
  </si>
  <si>
    <t>% eFG</t>
  </si>
  <si>
    <t>FP</t>
  </si>
  <si>
    <t>BLK</t>
  </si>
  <si>
    <t>REC</t>
  </si>
  <si>
    <t xml:space="preserve">% RELACIÓN </t>
  </si>
  <si>
    <t>EFICIENCIA</t>
  </si>
  <si>
    <t>PUNTOS INTENTADOS</t>
  </si>
  <si>
    <t>FG: 2P + 3P</t>
  </si>
  <si>
    <t>TIROS LIBRES</t>
  </si>
  <si>
    <t>TRIPLES</t>
  </si>
  <si>
    <t>REBOTES REAL 40'</t>
  </si>
  <si>
    <t>TOTAL</t>
  </si>
  <si>
    <t>PROM</t>
  </si>
  <si>
    <t>PUNTOS x</t>
  </si>
  <si>
    <t>EFICIENCIA REAL</t>
  </si>
  <si>
    <t>INCIDENCIA OF.</t>
  </si>
  <si>
    <t>ASIST / PÉRD</t>
  </si>
  <si>
    <t>VAL</t>
  </si>
  <si>
    <t>GmSc</t>
  </si>
  <si>
    <t>GSx40'</t>
  </si>
  <si>
    <t>TOT</t>
  </si>
  <si>
    <t>PR</t>
  </si>
  <si>
    <t>INT</t>
  </si>
  <si>
    <t>%</t>
  </si>
  <si>
    <t>CON</t>
  </si>
  <si>
    <t>%RFT</t>
  </si>
  <si>
    <t>x 0,44</t>
  </si>
  <si>
    <t>DEF.</t>
  </si>
  <si>
    <t>OFEN.</t>
  </si>
  <si>
    <t>Rx40'</t>
  </si>
  <si>
    <t>POSEC</t>
  </si>
  <si>
    <t>POSES.</t>
  </si>
  <si>
    <t>POSESIÓN</t>
  </si>
  <si>
    <t>TIROS 1-2-3 Pts</t>
  </si>
  <si>
    <t>TIROS 2 Y 3 Pts</t>
  </si>
  <si>
    <t>ASIS.</t>
  </si>
  <si>
    <t>PÉRD.</t>
  </si>
  <si>
    <t>%A/TO</t>
  </si>
  <si>
    <t>THOMAS Marcus</t>
  </si>
  <si>
    <t>GUILLENT Heldrin</t>
  </si>
  <si>
    <t>CEDEÑO Carlos</t>
  </si>
  <si>
    <t>CAZORLA Harold</t>
  </si>
  <si>
    <t>DESHIELDS Keiron</t>
  </si>
  <si>
    <t>ABREU Alexander</t>
  </si>
  <si>
    <t>GALLOWEY Ramon</t>
  </si>
  <si>
    <t>TOVAR Edson</t>
  </si>
  <si>
    <t>PEÑA Kelvin</t>
  </si>
  <si>
    <t>SOLANO Gelvis</t>
  </si>
  <si>
    <t>ALI Hameed</t>
  </si>
  <si>
    <t>GUILLENT Heisslent</t>
  </si>
  <si>
    <t>VILDOZA Leandro</t>
  </si>
  <si>
    <t xml:space="preserve">CUBILLAN David </t>
  </si>
  <si>
    <t xml:space="preserve">CABRERA Allan </t>
  </si>
  <si>
    <t>VARGAS Gregory</t>
  </si>
  <si>
    <t>MORILLO Alexander</t>
  </si>
  <si>
    <t xml:space="preserve">MIGNANI Sebastian </t>
  </si>
  <si>
    <t>HERNÁNDEZ Emiro</t>
  </si>
  <si>
    <t>SOJO José</t>
  </si>
  <si>
    <r>
      <rPr>
        <b/>
        <u/>
        <sz val="11"/>
        <rFont val="Calibri"/>
      </rPr>
      <t>NOTA</t>
    </r>
    <r>
      <rPr>
        <b/>
        <sz val="11"/>
        <rFont val="Calibri"/>
      </rPr>
      <t>: Fueron tomandos en cuenta, aquellos jugadores con un mínimo de 10 partidos disputados en la competencia.</t>
    </r>
  </si>
  <si>
    <t>FUENTE: LATINBASKET.COM / PELOTABINARIA.COM.VE</t>
  </si>
  <si>
    <t>ESTADÍSTICAS AVANZADAS - ESCOLTAS</t>
  </si>
  <si>
    <t>RENDIMIENTO DE LOS 20 JUGADORES DE MAYOR VALORACIÓN EN EL PUESTO (SOBRE UN TOTAL DE 64 ESCOLTAS)</t>
  </si>
  <si>
    <t>MAC Sheldon</t>
  </si>
  <si>
    <t>DUARTE Luis</t>
  </si>
  <si>
    <t>JHONSON Melvin</t>
  </si>
  <si>
    <t>SOJO Garly</t>
  </si>
  <si>
    <t>WILLIAMS George</t>
  </si>
  <si>
    <t>ZAMORA Jhornan</t>
  </si>
  <si>
    <t>ABDUL ALEEM Mussa</t>
  </si>
  <si>
    <r>
      <t>CLARK</t>
    </r>
    <r>
      <rPr>
        <b/>
        <sz val="12"/>
        <color indexed="10"/>
        <rFont val="Calibri"/>
      </rPr>
      <t xml:space="preserve"> </t>
    </r>
    <r>
      <rPr>
        <b/>
        <sz val="12"/>
        <color rgb="FF000000"/>
        <rFont val="Calibri"/>
      </rPr>
      <t>Elyjah</t>
    </r>
  </si>
  <si>
    <t>WARREN Willy</t>
  </si>
  <si>
    <t>BERRY Devion</t>
  </si>
  <si>
    <t>SIFONTES Yohanner</t>
  </si>
  <si>
    <t>BRACEY Lisander</t>
  </si>
  <si>
    <t>DAVIS Dwayne</t>
  </si>
  <si>
    <t>COUTIN Neysser</t>
  </si>
  <si>
    <t>ARENGO Juan</t>
  </si>
  <si>
    <t>NIÑO Kevin</t>
  </si>
  <si>
    <t xml:space="preserve">PALACIOS Nélson </t>
  </si>
  <si>
    <t xml:space="preserve">CHOURIO Pedro </t>
  </si>
  <si>
    <t xml:space="preserve">BAEZ Elvis </t>
  </si>
  <si>
    <t>STEPHENS Menas</t>
  </si>
  <si>
    <t>ESTADÍSTICAS AVANZADAS - ALEROS</t>
  </si>
  <si>
    <t>RENDIMIENTO DE LOS 20 JUGADORES DE MAYOR VALORACIÓN EN EL PUESTO (SOBRE UN TOTAL DE 61 ALEROS)</t>
  </si>
  <si>
    <t>EFIANAYI Tanskley</t>
  </si>
  <si>
    <t>GILDER Tray</t>
  </si>
  <si>
    <t>FIELDS Tamyrik</t>
  </si>
  <si>
    <t>WADELL Nicholas</t>
  </si>
  <si>
    <t>MONTERO Luis</t>
  </si>
  <si>
    <t>VASILEIADIS Kostas</t>
  </si>
  <si>
    <t>MARTÍNEZ Alcides</t>
  </si>
  <si>
    <t>MORRISON Dominique</t>
  </si>
  <si>
    <t>ALMANZA Luis</t>
  </si>
  <si>
    <t xml:space="preserve">SMITH Donta </t>
  </si>
  <si>
    <t>GIMENEZ Elder</t>
  </si>
  <si>
    <t>ROCA Raymond</t>
  </si>
  <si>
    <t>FERNÁNDEZ Martín</t>
  </si>
  <si>
    <t>RONDON Jorge</t>
  </si>
  <si>
    <t>PÉREZ Anthony</t>
  </si>
  <si>
    <t>VICK Lageral</t>
  </si>
  <si>
    <t>RAMÍREZ Derwin</t>
  </si>
  <si>
    <t>MATERÁN José</t>
  </si>
  <si>
    <t>MARTÍNEZ Edgar</t>
  </si>
  <si>
    <t xml:space="preserve">MACUARE Daniel </t>
  </si>
  <si>
    <r>
      <rPr>
        <b/>
        <u/>
        <sz val="11"/>
        <color rgb="FF3A3838"/>
        <rFont val="Calibri"/>
      </rPr>
      <t>NOTA</t>
    </r>
    <r>
      <rPr>
        <b/>
        <sz val="11"/>
        <color rgb="FF3A3838"/>
        <rFont val="Calibri"/>
      </rPr>
      <t>: Fueron tomandos en cuenta, aquellos jugadores con un mínimo de 10 partidos disputados en la competencia.</t>
    </r>
  </si>
  <si>
    <t>ESTADÍSTICAS AVANZADAS - ALA-PIVOTS</t>
  </si>
  <si>
    <t>RENDIMIENTO DE LOS 20 JUGADORES DE MAYOR VALORACIÓN EN EL PUESTO (SOBRE UN TOTAL DE 45 ALA-PIVOTS)</t>
  </si>
  <si>
    <t>VARGAS José</t>
  </si>
  <si>
    <t>COLLER Devon</t>
  </si>
  <si>
    <t xml:space="preserve">CARRERA Michael </t>
  </si>
  <si>
    <t>THOMAS Charles</t>
  </si>
  <si>
    <t>BETHELMY Luis</t>
  </si>
  <si>
    <t>HOLLIS Damian</t>
  </si>
  <si>
    <t>ALEXANDER Quintin</t>
  </si>
  <si>
    <t>CARABALLO Kelvin</t>
  </si>
  <si>
    <t>MARTÍNEZ Jack M.</t>
  </si>
  <si>
    <t>YOUNG Anthony</t>
  </si>
  <si>
    <t>José ASCANIO José</t>
  </si>
  <si>
    <t>ROMANO Nicolás</t>
  </si>
  <si>
    <r>
      <t>RASIO</t>
    </r>
    <r>
      <rPr>
        <b/>
        <sz val="12"/>
        <color indexed="10"/>
        <rFont val="Calibri"/>
      </rPr>
      <t xml:space="preserve"> </t>
    </r>
    <r>
      <rPr>
        <b/>
        <sz val="12"/>
        <rFont val="Calibri"/>
      </rPr>
      <t>Lisandro</t>
    </r>
  </si>
  <si>
    <t>FREDERICK Erick</t>
  </si>
  <si>
    <t>VARGAS Javinger</t>
  </si>
  <si>
    <t>CISNEROS Anyelo</t>
  </si>
  <si>
    <t>LÓPEZ Lenín</t>
  </si>
  <si>
    <t>FUENMAYOR Fernando</t>
  </si>
  <si>
    <t>JOHNSON Brandon</t>
  </si>
  <si>
    <t>COBOS Tulio</t>
  </si>
  <si>
    <t>ESTADÍSTICAS AVANZADAS - PIVOTS</t>
  </si>
  <si>
    <t>RENDIMIENTO DE LOS 20 JUGADORES DE MAYOR VALORACIÓN EN EL PUESTO (SOBRE UN TOTAL DE 52 PIVOTS)</t>
  </si>
  <si>
    <t>GRATEROL Windi</t>
  </si>
  <si>
    <t>COLMENARES Néstor</t>
  </si>
  <si>
    <t xml:space="preserve">GUERRERO Juan </t>
  </si>
  <si>
    <t>ARAUJO Jhonatan</t>
  </si>
  <si>
    <t>PEÑA Antonio</t>
  </si>
  <si>
    <t>BLAIR Staphon</t>
  </si>
  <si>
    <t>SHAW Jarred</t>
  </si>
  <si>
    <t>DELPH Ronald</t>
  </si>
  <si>
    <t>MARTÍNEZ Jesús</t>
  </si>
  <si>
    <t>RODRIGUEZ Carlos</t>
  </si>
  <si>
    <t>HAGINS Jamelle</t>
  </si>
  <si>
    <t>DÍAZ Malon</t>
  </si>
  <si>
    <t xml:space="preserve">RAINES Cadarian </t>
  </si>
  <si>
    <t>JOHNSON Roquez</t>
  </si>
  <si>
    <t>CHRISTMAS Rakeen</t>
  </si>
  <si>
    <t xml:space="preserve">RODRIGUEZ José </t>
  </si>
  <si>
    <t>CENTENO Francisco</t>
  </si>
  <si>
    <t>CARRILLO Luis</t>
  </si>
  <si>
    <t>NARCIS Jabari</t>
  </si>
  <si>
    <t xml:space="preserve">RUIZ Miguel </t>
  </si>
  <si>
    <r>
      <rPr>
        <b/>
        <u/>
        <sz val="11"/>
        <color rgb="FF000000"/>
        <rFont val="Calibri"/>
      </rPr>
      <t>NOTA</t>
    </r>
    <r>
      <rPr>
        <b/>
        <sz val="11"/>
        <color rgb="FF000000"/>
        <rFont val="Calibri"/>
      </rPr>
      <t>: Fueron tomandos en cuenta, aquellos jugadores con un mínimo de 10 partidos disputados en la competencia.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</si>
</sst>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"/>
    <numFmt numFmtId="165" formatCode="0.0%"/>
    <numFmt numFmtId="166" formatCode="0.000"/>
    <numFmt numFmtId="167" formatCode="0.0000"/>
  </numFmts>
  <fonts count="33">
    <font>
      <sz val="11"/>
      <name val="Calibri"/>
    </font>
    <font>
      <sz val="11"/>
      <color rgb="FF000000"/>
      <name val="Calibri"/>
    </font>
    <font>
      <sz val="24"/>
      <color rgb="FFFC560C"/>
      <name val="Bernard MT Condensed"/>
    </font>
    <font>
      <sz val="24"/>
      <name val="Bernard MT Condensed"/>
    </font>
    <font>
      <b/>
      <sz val="13"/>
      <color rgb="FFFC560C"/>
      <name val="Calibri Light"/>
    </font>
    <font>
      <b/>
      <sz val="14"/>
      <color rgb="FF000000"/>
      <name val="Calibri"/>
    </font>
    <font>
      <b/>
      <sz val="8"/>
      <color rgb="FF000000"/>
      <name val="Arial"/>
    </font>
    <font>
      <b/>
      <sz val="11"/>
      <color rgb="FFFFFFFF"/>
      <name val="Calibri"/>
    </font>
    <font>
      <b/>
      <sz val="12"/>
      <name val="Calibri"/>
    </font>
    <font>
      <b/>
      <sz val="11"/>
      <name val="Calibri"/>
    </font>
    <font>
      <b/>
      <sz val="11"/>
      <color rgb="FF435369"/>
      <name val="Calibri"/>
    </font>
    <font>
      <b/>
      <sz val="11"/>
      <color rgb="FF002060"/>
      <name val="Calibri"/>
    </font>
    <font>
      <b/>
      <sz val="11"/>
      <color rgb="FF000046"/>
      <name val="Calibri"/>
    </font>
    <font>
      <b/>
      <sz val="11"/>
      <color rgb="FF212934"/>
      <name val="Calibri"/>
    </font>
    <font>
      <b/>
      <sz val="11"/>
      <color rgb="FF503B00"/>
      <name val="Calibri"/>
    </font>
    <font>
      <sz val="11"/>
      <color rgb="FF7F7F7F"/>
      <name val="Calibri"/>
    </font>
    <font>
      <b/>
      <sz val="14"/>
      <name val="Calibri"/>
    </font>
    <font>
      <b/>
      <sz val="8"/>
      <name val="Arial"/>
    </font>
    <font>
      <b/>
      <sz val="14"/>
      <name val="Arial"/>
    </font>
    <font>
      <b/>
      <sz val="11"/>
      <color rgb="FF3A3838"/>
      <name val="Calibri"/>
    </font>
    <font>
      <b/>
      <sz val="11"/>
      <color rgb="FF757070"/>
      <name val="Calibri"/>
    </font>
    <font>
      <b/>
      <sz val="12"/>
      <color rgb="FF435369"/>
      <name val="Calibri"/>
    </font>
    <font>
      <b/>
      <sz val="13"/>
      <color rgb="FF002060"/>
      <name val="Calibri"/>
    </font>
    <font>
      <b/>
      <sz val="13"/>
      <name val="Calibri"/>
    </font>
    <font>
      <b/>
      <sz val="13"/>
      <color rgb="FF435369"/>
      <name val="Calibri"/>
    </font>
    <font>
      <b/>
      <sz val="14"/>
      <color rgb="FF212934"/>
      <name val="Calibri"/>
    </font>
    <font>
      <b/>
      <sz val="12"/>
      <color rgb="FF503B00"/>
      <name val="Calibri"/>
    </font>
    <font>
      <b/>
      <sz val="11"/>
      <color rgb="FF000000"/>
      <name val="Calibri"/>
    </font>
    <font>
      <b/>
      <u/>
      <sz val="11"/>
      <color rgb="FF3A3838"/>
      <name val="Calibri"/>
    </font>
    <font>
      <b/>
      <sz val="12"/>
      <color indexed="10"/>
      <name val="Calibri"/>
    </font>
    <font>
      <b/>
      <sz val="12"/>
      <color rgb="FF000000"/>
      <name val="Calibri"/>
    </font>
    <font>
      <b/>
      <u/>
      <sz val="11"/>
      <name val="Calibri"/>
    </font>
    <font>
      <b/>
      <u/>
      <sz val="11"/>
      <color rgb="FF000000"/>
      <name val="Calibri"/>
    </font>
  </fonts>
  <fills count="7">
    <fill>
      <patternFill patternType="none"/>
    </fill>
    <fill>
      <patternFill patternType="gray125"/>
    </fill>
    <fill>
      <patternFill patternType="solid">
        <fgColor rgb="FF000046"/>
        <bgColor indexed="64"/>
      </patternFill>
    </fill>
    <fill>
      <patternFill patternType="solid">
        <fgColor rgb="FFFC560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EC500A"/>
        <bgColor indexed="64"/>
      </patternFill>
    </fill>
    <fill>
      <patternFill patternType="solid">
        <fgColor rgb="FFFFFFFF"/>
        <bgColor indexed="64"/>
      </patternFill>
    </fill>
  </fills>
  <borders count="5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67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6" fillId="3" borderId="10" xfId="0" applyFont="1" applyFill="1" applyBorder="1" applyAlignment="1">
      <alignment horizontal="center" vertical="center"/>
    </xf>
    <xf numFmtId="0" fontId="6" fillId="3" borderId="13" xfId="0" applyFont="1" applyFill="1" applyBorder="1" applyAlignment="1">
      <alignment horizontal="center" vertical="center"/>
    </xf>
    <xf numFmtId="0" fontId="6" fillId="3" borderId="15" xfId="0" applyFont="1" applyFill="1" applyBorder="1" applyAlignment="1">
      <alignment horizontal="center" vertical="center" wrapText="1"/>
    </xf>
    <xf numFmtId="0" fontId="6" fillId="3" borderId="22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23" xfId="0" applyFont="1" applyFill="1" applyBorder="1" applyAlignment="1">
      <alignment horizontal="center" vertical="center" wrapText="1"/>
    </xf>
    <xf numFmtId="0" fontId="6" fillId="3" borderId="27" xfId="0" applyFont="1" applyFill="1" applyBorder="1" applyAlignment="1">
      <alignment horizontal="center" vertical="center" wrapText="1"/>
    </xf>
    <xf numFmtId="0" fontId="6" fillId="3" borderId="28" xfId="0" applyFont="1" applyFill="1" applyBorder="1" applyAlignment="1">
      <alignment horizontal="center" vertical="center" wrapText="1"/>
    </xf>
    <xf numFmtId="0" fontId="6" fillId="3" borderId="29" xfId="0" applyFont="1" applyFill="1" applyBorder="1" applyAlignment="1">
      <alignment horizontal="center" vertical="center" wrapText="1"/>
    </xf>
    <xf numFmtId="0" fontId="6" fillId="3" borderId="30" xfId="0" applyFont="1" applyFill="1" applyBorder="1" applyAlignment="1">
      <alignment horizontal="center" vertical="center" wrapText="1"/>
    </xf>
    <xf numFmtId="0" fontId="6" fillId="3" borderId="31" xfId="0" applyFont="1" applyFill="1" applyBorder="1" applyAlignment="1">
      <alignment horizontal="center" vertical="center" wrapText="1"/>
    </xf>
    <xf numFmtId="0" fontId="6" fillId="3" borderId="32" xfId="0" applyFont="1" applyFill="1" applyBorder="1" applyAlignment="1">
      <alignment horizontal="center" vertical="center" wrapText="1"/>
    </xf>
    <xf numFmtId="0" fontId="6" fillId="3" borderId="33" xfId="0" applyFont="1" applyFill="1" applyBorder="1" applyAlignment="1">
      <alignment horizontal="center" vertical="center" wrapText="1"/>
    </xf>
    <xf numFmtId="10" fontId="6" fillId="3" borderId="32" xfId="0" applyNumberFormat="1" applyFont="1" applyFill="1" applyBorder="1" applyAlignment="1">
      <alignment horizontal="center" vertical="center" wrapText="1"/>
    </xf>
    <xf numFmtId="0" fontId="6" fillId="3" borderId="26" xfId="0" applyFont="1" applyFill="1" applyBorder="1" applyAlignment="1">
      <alignment horizontal="center" vertical="center" wrapText="1"/>
    </xf>
    <xf numFmtId="0" fontId="6" fillId="3" borderId="34" xfId="0" applyFont="1" applyFill="1" applyBorder="1" applyAlignment="1">
      <alignment horizontal="center" vertical="center" wrapText="1"/>
    </xf>
    <xf numFmtId="0" fontId="6" fillId="3" borderId="35" xfId="0" applyFont="1" applyFill="1" applyBorder="1" applyAlignment="1">
      <alignment horizontal="center" vertical="center" wrapText="1"/>
    </xf>
    <xf numFmtId="0" fontId="6" fillId="3" borderId="25" xfId="0" applyFont="1" applyFill="1" applyBorder="1" applyAlignment="1">
      <alignment horizontal="center" vertical="center" wrapText="1"/>
    </xf>
    <xf numFmtId="0" fontId="6" fillId="3" borderId="24" xfId="0" applyFont="1" applyFill="1" applyBorder="1" applyAlignment="1">
      <alignment horizontal="center" vertical="center" wrapText="1"/>
    </xf>
    <xf numFmtId="0" fontId="6" fillId="3" borderId="36" xfId="0" applyFont="1" applyFill="1" applyBorder="1" applyAlignment="1">
      <alignment horizontal="center" vertical="center" wrapText="1"/>
    </xf>
    <xf numFmtId="0" fontId="1" fillId="0" borderId="0" xfId="0" applyFont="1" applyAlignment="1"/>
    <xf numFmtId="0" fontId="7" fillId="4" borderId="37" xfId="0" applyFont="1" applyFill="1" applyBorder="1" applyAlignment="1">
      <alignment horizontal="center" vertical="center"/>
    </xf>
    <xf numFmtId="0" fontId="8" fillId="4" borderId="38" xfId="0" applyFont="1" applyFill="1" applyBorder="1" applyAlignment="1">
      <alignment horizontal="left" vertical="center" wrapText="1"/>
    </xf>
    <xf numFmtId="0" fontId="9" fillId="4" borderId="37" xfId="0" applyFont="1" applyFill="1" applyBorder="1" applyAlignment="1">
      <alignment horizontal="center" vertical="center" wrapText="1"/>
    </xf>
    <xf numFmtId="0" fontId="9" fillId="4" borderId="18" xfId="0" applyFont="1" applyFill="1" applyBorder="1" applyAlignment="1">
      <alignment horizontal="center" vertical="center" wrapText="1"/>
    </xf>
    <xf numFmtId="2" fontId="9" fillId="4" borderId="37" xfId="0" applyNumberFormat="1" applyFont="1" applyFill="1" applyBorder="1" applyAlignment="1">
      <alignment horizontal="center" vertical="center" wrapText="1"/>
    </xf>
    <xf numFmtId="2" fontId="10" fillId="4" borderId="20" xfId="0" applyNumberFormat="1" applyFont="1" applyFill="1" applyBorder="1" applyAlignment="1">
      <alignment horizontal="center" vertical="center" wrapText="1"/>
    </xf>
    <xf numFmtId="2" fontId="11" fillId="4" borderId="17" xfId="0" applyNumberFormat="1" applyFont="1" applyFill="1" applyBorder="1" applyAlignment="1">
      <alignment horizontal="center" vertical="center" wrapText="1"/>
    </xf>
    <xf numFmtId="1" fontId="9" fillId="4" borderId="37" xfId="0" applyNumberFormat="1" applyFont="1" applyFill="1" applyBorder="1" applyAlignment="1">
      <alignment horizontal="center" vertical="center" wrapText="1"/>
    </xf>
    <xf numFmtId="164" fontId="9" fillId="4" borderId="17" xfId="0" applyNumberFormat="1" applyFont="1" applyFill="1" applyBorder="1" applyAlignment="1">
      <alignment horizontal="center" vertical="center" wrapText="1"/>
    </xf>
    <xf numFmtId="1" fontId="9" fillId="4" borderId="20" xfId="0" applyNumberFormat="1" applyFont="1" applyFill="1" applyBorder="1" applyAlignment="1">
      <alignment horizontal="center" vertical="center" wrapText="1"/>
    </xf>
    <xf numFmtId="165" fontId="12" fillId="4" borderId="21" xfId="0" applyNumberFormat="1" applyFont="1" applyFill="1" applyBorder="1" applyAlignment="1">
      <alignment horizontal="center" vertical="center" wrapText="1"/>
    </xf>
    <xf numFmtId="0" fontId="9" fillId="4" borderId="19" xfId="0" applyFont="1" applyFill="1" applyBorder="1" applyAlignment="1">
      <alignment horizontal="center" vertical="center" wrapText="1"/>
    </xf>
    <xf numFmtId="0" fontId="9" fillId="4" borderId="20" xfId="0" applyFont="1" applyFill="1" applyBorder="1" applyAlignment="1">
      <alignment horizontal="center" vertical="center" wrapText="1"/>
    </xf>
    <xf numFmtId="165" fontId="12" fillId="4" borderId="20" xfId="0" applyNumberFormat="1" applyFont="1" applyFill="1" applyBorder="1" applyAlignment="1">
      <alignment horizontal="center" vertical="center" wrapText="1"/>
    </xf>
    <xf numFmtId="10" fontId="10" fillId="4" borderId="38" xfId="0" applyNumberFormat="1" applyFont="1" applyFill="1" applyBorder="1" applyAlignment="1">
      <alignment horizontal="center" vertical="center" wrapText="1"/>
    </xf>
    <xf numFmtId="164" fontId="9" fillId="4" borderId="38" xfId="0" applyNumberFormat="1" applyFont="1" applyFill="1" applyBorder="1" applyAlignment="1">
      <alignment horizontal="center" vertical="center" wrapText="1"/>
    </xf>
    <xf numFmtId="2" fontId="9" fillId="4" borderId="17" xfId="0" applyNumberFormat="1" applyFont="1" applyFill="1" applyBorder="1" applyAlignment="1">
      <alignment horizontal="center" vertical="center" wrapText="1"/>
    </xf>
    <xf numFmtId="2" fontId="11" fillId="4" borderId="19" xfId="0" applyNumberFormat="1" applyFont="1" applyFill="1" applyBorder="1" applyAlignment="1">
      <alignment horizontal="center" vertical="center" wrapText="1"/>
    </xf>
    <xf numFmtId="166" fontId="13" fillId="4" borderId="18" xfId="0" applyNumberFormat="1" applyFont="1" applyFill="1" applyBorder="1" applyAlignment="1">
      <alignment horizontal="center" vertical="center" wrapText="1"/>
    </xf>
    <xf numFmtId="167" fontId="9" fillId="4" borderId="16" xfId="0" applyNumberFormat="1" applyFont="1" applyFill="1" applyBorder="1" applyAlignment="1">
      <alignment horizontal="center" vertical="center" wrapText="1"/>
    </xf>
    <xf numFmtId="167" fontId="11" fillId="4" borderId="39" xfId="0" applyNumberFormat="1" applyFont="1" applyFill="1" applyBorder="1" applyAlignment="1">
      <alignment horizontal="center" vertical="center" wrapText="1"/>
    </xf>
    <xf numFmtId="1" fontId="9" fillId="4" borderId="18" xfId="0" applyNumberFormat="1" applyFont="1" applyFill="1" applyBorder="1" applyAlignment="1">
      <alignment horizontal="center" vertical="center" wrapText="1"/>
    </xf>
    <xf numFmtId="1" fontId="9" fillId="4" borderId="39" xfId="0" applyNumberFormat="1" applyFont="1" applyFill="1" applyBorder="1" applyAlignment="1">
      <alignment horizontal="center" vertical="center" wrapText="1"/>
    </xf>
    <xf numFmtId="1" fontId="9" fillId="4" borderId="17" xfId="0" applyNumberFormat="1" applyFont="1" applyFill="1" applyBorder="1" applyAlignment="1">
      <alignment horizontal="center" vertical="center" wrapText="1"/>
    </xf>
    <xf numFmtId="166" fontId="14" fillId="4" borderId="18" xfId="0" applyNumberFormat="1" applyFont="1" applyFill="1" applyBorder="1" applyAlignment="1">
      <alignment horizontal="center" vertical="center"/>
    </xf>
    <xf numFmtId="0" fontId="7" fillId="3" borderId="40" xfId="0" applyFont="1" applyFill="1" applyBorder="1" applyAlignment="1">
      <alignment horizontal="center" vertical="center"/>
    </xf>
    <xf numFmtId="0" fontId="8" fillId="3" borderId="41" xfId="0" applyFont="1" applyFill="1" applyBorder="1" applyAlignment="1">
      <alignment vertical="center" wrapText="1"/>
    </xf>
    <xf numFmtId="0" fontId="9" fillId="3" borderId="37" xfId="0" applyFont="1" applyFill="1" applyBorder="1" applyAlignment="1">
      <alignment horizontal="center" vertical="center" wrapText="1"/>
    </xf>
    <xf numFmtId="0" fontId="9" fillId="3" borderId="18" xfId="0" applyFont="1" applyFill="1" applyBorder="1" applyAlignment="1">
      <alignment horizontal="center" vertical="center" wrapText="1"/>
    </xf>
    <xf numFmtId="2" fontId="9" fillId="3" borderId="37" xfId="0" applyNumberFormat="1" applyFont="1" applyFill="1" applyBorder="1" applyAlignment="1">
      <alignment horizontal="center" vertical="center" wrapText="1"/>
    </xf>
    <xf numFmtId="2" fontId="10" fillId="3" borderId="20" xfId="0" applyNumberFormat="1" applyFont="1" applyFill="1" applyBorder="1" applyAlignment="1">
      <alignment horizontal="center" vertical="center" wrapText="1"/>
    </xf>
    <xf numFmtId="2" fontId="11" fillId="3" borderId="17" xfId="0" applyNumberFormat="1" applyFont="1" applyFill="1" applyBorder="1" applyAlignment="1">
      <alignment horizontal="center" vertical="center" wrapText="1"/>
    </xf>
    <xf numFmtId="1" fontId="9" fillId="3" borderId="37" xfId="0" applyNumberFormat="1" applyFont="1" applyFill="1" applyBorder="1" applyAlignment="1">
      <alignment horizontal="center" vertical="center" wrapText="1"/>
    </xf>
    <xf numFmtId="164" fontId="9" fillId="3" borderId="17" xfId="0" applyNumberFormat="1" applyFont="1" applyFill="1" applyBorder="1" applyAlignment="1">
      <alignment horizontal="center" vertical="center" wrapText="1"/>
    </xf>
    <xf numFmtId="1" fontId="9" fillId="3" borderId="20" xfId="0" applyNumberFormat="1" applyFont="1" applyFill="1" applyBorder="1" applyAlignment="1">
      <alignment horizontal="center" vertical="center" wrapText="1"/>
    </xf>
    <xf numFmtId="165" fontId="12" fillId="3" borderId="21" xfId="0" applyNumberFormat="1" applyFont="1" applyFill="1" applyBorder="1" applyAlignment="1">
      <alignment horizontal="center" vertical="center" wrapText="1"/>
    </xf>
    <xf numFmtId="0" fontId="9" fillId="3" borderId="19" xfId="0" applyFont="1" applyFill="1" applyBorder="1" applyAlignment="1">
      <alignment horizontal="center" vertical="center" wrapText="1"/>
    </xf>
    <xf numFmtId="0" fontId="9" fillId="3" borderId="20" xfId="0" applyFont="1" applyFill="1" applyBorder="1" applyAlignment="1">
      <alignment horizontal="center" vertical="center" wrapText="1"/>
    </xf>
    <xf numFmtId="165" fontId="12" fillId="3" borderId="20" xfId="0" applyNumberFormat="1" applyFont="1" applyFill="1" applyBorder="1" applyAlignment="1">
      <alignment horizontal="center" vertical="center" wrapText="1"/>
    </xf>
    <xf numFmtId="10" fontId="10" fillId="3" borderId="38" xfId="0" applyNumberFormat="1" applyFont="1" applyFill="1" applyBorder="1" applyAlignment="1">
      <alignment horizontal="center" vertical="center" wrapText="1"/>
    </xf>
    <xf numFmtId="164" fontId="9" fillId="3" borderId="38" xfId="0" applyNumberFormat="1" applyFont="1" applyFill="1" applyBorder="1" applyAlignment="1">
      <alignment horizontal="center" vertical="center" wrapText="1"/>
    </xf>
    <xf numFmtId="2" fontId="9" fillId="3" borderId="17" xfId="0" applyNumberFormat="1" applyFont="1" applyFill="1" applyBorder="1" applyAlignment="1">
      <alignment horizontal="center" vertical="center" wrapText="1"/>
    </xf>
    <xf numFmtId="2" fontId="11" fillId="3" borderId="19" xfId="0" applyNumberFormat="1" applyFont="1" applyFill="1" applyBorder="1" applyAlignment="1">
      <alignment horizontal="center" vertical="center" wrapText="1"/>
    </xf>
    <xf numFmtId="166" fontId="13" fillId="3" borderId="18" xfId="0" applyNumberFormat="1" applyFont="1" applyFill="1" applyBorder="1" applyAlignment="1">
      <alignment horizontal="center" vertical="center" wrapText="1"/>
    </xf>
    <xf numFmtId="167" fontId="9" fillId="3" borderId="16" xfId="0" applyNumberFormat="1" applyFont="1" applyFill="1" applyBorder="1" applyAlignment="1">
      <alignment horizontal="center" vertical="center" wrapText="1"/>
    </xf>
    <xf numFmtId="167" fontId="11" fillId="3" borderId="39" xfId="0" applyNumberFormat="1" applyFont="1" applyFill="1" applyBorder="1" applyAlignment="1">
      <alignment horizontal="center" vertical="center" wrapText="1"/>
    </xf>
    <xf numFmtId="1" fontId="9" fillId="3" borderId="18" xfId="0" applyNumberFormat="1" applyFont="1" applyFill="1" applyBorder="1" applyAlignment="1">
      <alignment horizontal="center" vertical="center" wrapText="1"/>
    </xf>
    <xf numFmtId="1" fontId="9" fillId="3" borderId="39" xfId="0" applyNumberFormat="1" applyFont="1" applyFill="1" applyBorder="1" applyAlignment="1">
      <alignment horizontal="center" vertical="center" wrapText="1"/>
    </xf>
    <xf numFmtId="1" fontId="9" fillId="3" borderId="17" xfId="0" applyNumberFormat="1" applyFont="1" applyFill="1" applyBorder="1" applyAlignment="1">
      <alignment horizontal="center" vertical="center" wrapText="1"/>
    </xf>
    <xf numFmtId="166" fontId="14" fillId="3" borderId="18" xfId="0" applyNumberFormat="1" applyFont="1" applyFill="1" applyBorder="1" applyAlignment="1">
      <alignment horizontal="center" vertical="center"/>
    </xf>
    <xf numFmtId="0" fontId="7" fillId="4" borderId="40" xfId="0" applyFont="1" applyFill="1" applyBorder="1" applyAlignment="1">
      <alignment horizontal="center" vertical="center"/>
    </xf>
    <xf numFmtId="0" fontId="8" fillId="4" borderId="41" xfId="0" applyFont="1" applyFill="1" applyBorder="1" applyAlignment="1">
      <alignment vertical="center" wrapText="1"/>
    </xf>
    <xf numFmtId="0" fontId="8" fillId="3" borderId="41" xfId="0" applyFont="1" applyFill="1" applyBorder="1" applyAlignment="1">
      <alignment horizontal="left" vertical="center" wrapText="1"/>
    </xf>
    <xf numFmtId="0" fontId="1" fillId="5" borderId="0" xfId="0" applyFont="1" applyFill="1" applyAlignment="1"/>
    <xf numFmtId="0" fontId="8" fillId="4" borderId="41" xfId="0" applyFont="1" applyFill="1" applyBorder="1" applyAlignment="1">
      <alignment horizontal="left" vertical="center" wrapText="1"/>
    </xf>
    <xf numFmtId="164" fontId="8" fillId="3" borderId="41" xfId="0" applyNumberFormat="1" applyFont="1" applyFill="1" applyBorder="1" applyAlignment="1">
      <alignment horizontal="left" vertical="center" wrapText="1"/>
    </xf>
    <xf numFmtId="0" fontId="7" fillId="4" borderId="42" xfId="0" applyFont="1" applyFill="1" applyBorder="1" applyAlignment="1">
      <alignment horizontal="center" vertical="center"/>
    </xf>
    <xf numFmtId="0" fontId="7" fillId="3" borderId="42" xfId="0" applyFont="1" applyFill="1" applyBorder="1" applyAlignment="1">
      <alignment horizontal="center" vertical="center"/>
    </xf>
    <xf numFmtId="0" fontId="7" fillId="3" borderId="43" xfId="0" applyFont="1" applyFill="1" applyBorder="1" applyAlignment="1">
      <alignment horizontal="center" vertical="center"/>
    </xf>
    <xf numFmtId="0" fontId="8" fillId="3" borderId="44" xfId="0" applyFont="1" applyFill="1" applyBorder="1" applyAlignment="1">
      <alignment horizontal="left" vertical="center" wrapText="1"/>
    </xf>
    <xf numFmtId="0" fontId="9" fillId="3" borderId="45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2" fontId="9" fillId="3" borderId="45" xfId="0" applyNumberFormat="1" applyFont="1" applyFill="1" applyBorder="1" applyAlignment="1">
      <alignment horizontal="center" vertical="center" wrapText="1"/>
    </xf>
    <xf numFmtId="2" fontId="10" fillId="3" borderId="46" xfId="0" applyNumberFormat="1" applyFont="1" applyFill="1" applyBorder="1" applyAlignment="1">
      <alignment horizontal="center" vertical="center" wrapText="1"/>
    </xf>
    <xf numFmtId="2" fontId="11" fillId="3" borderId="7" xfId="0" applyNumberFormat="1" applyFont="1" applyFill="1" applyBorder="1" applyAlignment="1">
      <alignment horizontal="center" vertical="center" wrapText="1"/>
    </xf>
    <xf numFmtId="1" fontId="9" fillId="3" borderId="45" xfId="0" applyNumberFormat="1" applyFont="1" applyFill="1" applyBorder="1" applyAlignment="1">
      <alignment horizontal="center" vertical="center" wrapText="1"/>
    </xf>
    <xf numFmtId="164" fontId="9" fillId="3" borderId="7" xfId="0" applyNumberFormat="1" applyFont="1" applyFill="1" applyBorder="1" applyAlignment="1">
      <alignment horizontal="center" vertical="center" wrapText="1"/>
    </xf>
    <xf numFmtId="1" fontId="9" fillId="3" borderId="46" xfId="0" applyNumberFormat="1" applyFont="1" applyFill="1" applyBorder="1" applyAlignment="1">
      <alignment horizontal="center" vertical="center" wrapText="1"/>
    </xf>
    <xf numFmtId="165" fontId="12" fillId="3" borderId="47" xfId="0" applyNumberFormat="1" applyFont="1" applyFill="1" applyBorder="1" applyAlignment="1">
      <alignment horizontal="center" vertical="center" wrapText="1"/>
    </xf>
    <xf numFmtId="0" fontId="9" fillId="3" borderId="48" xfId="0" applyFont="1" applyFill="1" applyBorder="1" applyAlignment="1">
      <alignment horizontal="center" vertical="center" wrapText="1"/>
    </xf>
    <xf numFmtId="0" fontId="9" fillId="3" borderId="46" xfId="0" applyFont="1" applyFill="1" applyBorder="1" applyAlignment="1">
      <alignment horizontal="center" vertical="center" wrapText="1"/>
    </xf>
    <xf numFmtId="165" fontId="12" fillId="3" borderId="46" xfId="0" applyNumberFormat="1" applyFont="1" applyFill="1" applyBorder="1" applyAlignment="1">
      <alignment horizontal="center" vertical="center" wrapText="1"/>
    </xf>
    <xf numFmtId="10" fontId="10" fillId="3" borderId="49" xfId="0" applyNumberFormat="1" applyFont="1" applyFill="1" applyBorder="1" applyAlignment="1">
      <alignment horizontal="center" vertical="center" wrapText="1"/>
    </xf>
    <xf numFmtId="164" fontId="9" fillId="3" borderId="49" xfId="0" applyNumberFormat="1" applyFont="1" applyFill="1" applyBorder="1" applyAlignment="1">
      <alignment horizontal="center" vertical="center" wrapText="1"/>
    </xf>
    <xf numFmtId="2" fontId="9" fillId="3" borderId="7" xfId="0" applyNumberFormat="1" applyFont="1" applyFill="1" applyBorder="1" applyAlignment="1">
      <alignment horizontal="center" vertical="center" wrapText="1"/>
    </xf>
    <xf numFmtId="2" fontId="11" fillId="3" borderId="48" xfId="0" applyNumberFormat="1" applyFont="1" applyFill="1" applyBorder="1" applyAlignment="1">
      <alignment horizontal="center" vertical="center" wrapText="1"/>
    </xf>
    <xf numFmtId="166" fontId="13" fillId="3" borderId="8" xfId="0" applyNumberFormat="1" applyFont="1" applyFill="1" applyBorder="1" applyAlignment="1">
      <alignment horizontal="center" vertical="center" wrapText="1"/>
    </xf>
    <xf numFmtId="167" fontId="9" fillId="3" borderId="6" xfId="0" applyNumberFormat="1" applyFont="1" applyFill="1" applyBorder="1" applyAlignment="1">
      <alignment horizontal="center" vertical="center" wrapText="1"/>
    </xf>
    <xf numFmtId="167" fontId="11" fillId="3" borderId="50" xfId="0" applyNumberFormat="1" applyFont="1" applyFill="1" applyBorder="1" applyAlignment="1">
      <alignment horizontal="center" vertical="center" wrapText="1"/>
    </xf>
    <xf numFmtId="1" fontId="9" fillId="3" borderId="8" xfId="0" applyNumberFormat="1" applyFont="1" applyFill="1" applyBorder="1" applyAlignment="1">
      <alignment horizontal="center" vertical="center" wrapText="1"/>
    </xf>
    <xf numFmtId="1" fontId="9" fillId="3" borderId="50" xfId="0" applyNumberFormat="1" applyFont="1" applyFill="1" applyBorder="1" applyAlignment="1">
      <alignment horizontal="center" vertical="center" wrapText="1"/>
    </xf>
    <xf numFmtId="1" fontId="9" fillId="3" borderId="7" xfId="0" applyNumberFormat="1" applyFont="1" applyFill="1" applyBorder="1" applyAlignment="1">
      <alignment horizontal="center" vertical="center" wrapText="1"/>
    </xf>
    <xf numFmtId="166" fontId="14" fillId="3" borderId="8" xfId="0" applyNumberFormat="1" applyFont="1" applyFill="1" applyBorder="1" applyAlignment="1">
      <alignment horizontal="center" vertical="center"/>
    </xf>
    <xf numFmtId="0" fontId="15" fillId="6" borderId="0" xfId="0" applyFont="1" applyFill="1" applyAlignment="1"/>
    <xf numFmtId="0" fontId="17" fillId="3" borderId="10" xfId="0" applyFont="1" applyFill="1" applyBorder="1" applyAlignment="1">
      <alignment horizontal="center" vertical="center"/>
    </xf>
    <xf numFmtId="0" fontId="17" fillId="3" borderId="13" xfId="0" applyFont="1" applyFill="1" applyBorder="1" applyAlignment="1">
      <alignment horizontal="center" vertical="center"/>
    </xf>
    <xf numFmtId="0" fontId="17" fillId="3" borderId="15" xfId="0" applyFont="1" applyFill="1" applyBorder="1" applyAlignment="1">
      <alignment horizontal="center" vertical="center" wrapText="1"/>
    </xf>
    <xf numFmtId="0" fontId="17" fillId="3" borderId="22" xfId="0" applyFont="1" applyFill="1" applyBorder="1" applyAlignment="1">
      <alignment horizontal="center" vertical="center" wrapText="1"/>
    </xf>
    <xf numFmtId="0" fontId="17" fillId="3" borderId="5" xfId="0" applyFont="1" applyFill="1" applyBorder="1" applyAlignment="1">
      <alignment horizontal="center" vertical="center" wrapText="1"/>
    </xf>
    <xf numFmtId="0" fontId="17" fillId="3" borderId="4" xfId="0" applyFont="1" applyFill="1" applyBorder="1" applyAlignment="1">
      <alignment horizontal="center" vertical="center" wrapText="1"/>
    </xf>
    <xf numFmtId="0" fontId="17" fillId="3" borderId="23" xfId="0" applyFont="1" applyFill="1" applyBorder="1" applyAlignment="1">
      <alignment horizontal="center" vertical="center" wrapText="1"/>
    </xf>
    <xf numFmtId="0" fontId="17" fillId="3" borderId="27" xfId="0" applyFont="1" applyFill="1" applyBorder="1" applyAlignment="1">
      <alignment horizontal="center" vertical="center" wrapText="1"/>
    </xf>
    <xf numFmtId="0" fontId="17" fillId="3" borderId="28" xfId="0" applyFont="1" applyFill="1" applyBorder="1" applyAlignment="1">
      <alignment horizontal="center" vertical="center" wrapText="1"/>
    </xf>
    <xf numFmtId="0" fontId="17" fillId="3" borderId="29" xfId="0" applyFont="1" applyFill="1" applyBorder="1" applyAlignment="1">
      <alignment horizontal="center" vertical="center" wrapText="1"/>
    </xf>
    <xf numFmtId="0" fontId="17" fillId="3" borderId="30" xfId="0" applyFont="1" applyFill="1" applyBorder="1" applyAlignment="1">
      <alignment horizontal="center" vertical="center" wrapText="1"/>
    </xf>
    <xf numFmtId="0" fontId="17" fillId="3" borderId="31" xfId="0" applyFont="1" applyFill="1" applyBorder="1" applyAlignment="1">
      <alignment horizontal="center" vertical="center" wrapText="1"/>
    </xf>
    <xf numFmtId="0" fontId="17" fillId="3" borderId="32" xfId="0" applyFont="1" applyFill="1" applyBorder="1" applyAlignment="1">
      <alignment horizontal="center" vertical="center" wrapText="1"/>
    </xf>
    <xf numFmtId="0" fontId="17" fillId="3" borderId="33" xfId="0" applyFont="1" applyFill="1" applyBorder="1" applyAlignment="1">
      <alignment horizontal="center" vertical="center" wrapText="1"/>
    </xf>
    <xf numFmtId="10" fontId="17" fillId="3" borderId="32" xfId="0" applyNumberFormat="1" applyFont="1" applyFill="1" applyBorder="1" applyAlignment="1">
      <alignment horizontal="center" vertical="center" wrapText="1"/>
    </xf>
    <xf numFmtId="0" fontId="17" fillId="3" borderId="26" xfId="0" applyFont="1" applyFill="1" applyBorder="1" applyAlignment="1">
      <alignment horizontal="center" vertical="center" wrapText="1"/>
    </xf>
    <xf numFmtId="0" fontId="17" fillId="3" borderId="34" xfId="0" applyFont="1" applyFill="1" applyBorder="1" applyAlignment="1">
      <alignment horizontal="center" vertical="center" wrapText="1"/>
    </xf>
    <xf numFmtId="0" fontId="17" fillId="3" borderId="35" xfId="0" applyFont="1" applyFill="1" applyBorder="1" applyAlignment="1">
      <alignment horizontal="center" vertical="center" wrapText="1"/>
    </xf>
    <xf numFmtId="0" fontId="17" fillId="3" borderId="25" xfId="0" applyFont="1" applyFill="1" applyBorder="1" applyAlignment="1">
      <alignment horizontal="center" vertical="center" wrapText="1"/>
    </xf>
    <xf numFmtId="0" fontId="17" fillId="3" borderId="24" xfId="0" applyFont="1" applyFill="1" applyBorder="1" applyAlignment="1">
      <alignment horizontal="center" vertical="center" wrapText="1"/>
    </xf>
    <xf numFmtId="0" fontId="17" fillId="3" borderId="36" xfId="0" applyFont="1" applyFill="1" applyBorder="1" applyAlignment="1">
      <alignment horizontal="center" vertical="center" wrapText="1"/>
    </xf>
    <xf numFmtId="0" fontId="8" fillId="4" borderId="51" xfId="0" applyFont="1" applyFill="1" applyBorder="1" applyAlignment="1">
      <alignment horizontal="left" vertical="center" wrapText="1"/>
    </xf>
    <xf numFmtId="0" fontId="8" fillId="3" borderId="51" xfId="0" applyFont="1" applyFill="1" applyBorder="1" applyAlignment="1">
      <alignment horizontal="left" vertical="center" wrapText="1"/>
    </xf>
    <xf numFmtId="0" fontId="8" fillId="3" borderId="52" xfId="0" applyFont="1" applyFill="1" applyBorder="1" applyAlignment="1">
      <alignment horizontal="left" vertical="center" wrapText="1"/>
    </xf>
    <xf numFmtId="0" fontId="7" fillId="3" borderId="37" xfId="0" applyFont="1" applyFill="1" applyBorder="1" applyAlignment="1">
      <alignment horizontal="center" vertical="center"/>
    </xf>
    <xf numFmtId="0" fontId="8" fillId="3" borderId="53" xfId="0" applyFont="1" applyFill="1" applyBorder="1" applyAlignment="1">
      <alignment horizontal="left" vertical="center" wrapText="1"/>
    </xf>
    <xf numFmtId="2" fontId="8" fillId="4" borderId="37" xfId="0" applyNumberFormat="1" applyFont="1" applyFill="1" applyBorder="1" applyAlignment="1">
      <alignment horizontal="center" vertical="center" wrapText="1"/>
    </xf>
    <xf numFmtId="2" fontId="21" fillId="4" borderId="20" xfId="0" applyNumberFormat="1" applyFont="1" applyFill="1" applyBorder="1" applyAlignment="1">
      <alignment horizontal="center" vertical="center" wrapText="1"/>
    </xf>
    <xf numFmtId="2" fontId="22" fillId="4" borderId="17" xfId="0" applyNumberFormat="1" applyFont="1" applyFill="1" applyBorder="1" applyAlignment="1">
      <alignment horizontal="center" vertical="center" wrapText="1"/>
    </xf>
    <xf numFmtId="164" fontId="23" fillId="4" borderId="17" xfId="0" applyNumberFormat="1" applyFont="1" applyFill="1" applyBorder="1" applyAlignment="1">
      <alignment horizontal="center" vertical="center" wrapText="1"/>
    </xf>
    <xf numFmtId="10" fontId="24" fillId="4" borderId="38" xfId="0" applyNumberFormat="1" applyFont="1" applyFill="1" applyBorder="1" applyAlignment="1">
      <alignment horizontal="center" vertical="center" wrapText="1"/>
    </xf>
    <xf numFmtId="2" fontId="23" fillId="4" borderId="17" xfId="0" applyNumberFormat="1" applyFont="1" applyFill="1" applyBorder="1" applyAlignment="1">
      <alignment horizontal="center" vertical="center" wrapText="1"/>
    </xf>
    <xf numFmtId="2" fontId="22" fillId="4" borderId="19" xfId="0" applyNumberFormat="1" applyFont="1" applyFill="1" applyBorder="1" applyAlignment="1">
      <alignment horizontal="center" vertical="center" wrapText="1"/>
    </xf>
    <xf numFmtId="166" fontId="25" fillId="4" borderId="18" xfId="0" applyNumberFormat="1" applyFont="1" applyFill="1" applyBorder="1" applyAlignment="1">
      <alignment horizontal="center" vertical="center" wrapText="1"/>
    </xf>
    <xf numFmtId="167" fontId="23" fillId="4" borderId="16" xfId="0" applyNumberFormat="1" applyFont="1" applyFill="1" applyBorder="1" applyAlignment="1">
      <alignment horizontal="center" vertical="center" wrapText="1"/>
    </xf>
    <xf numFmtId="167" fontId="22" fillId="4" borderId="39" xfId="0" applyNumberFormat="1" applyFont="1" applyFill="1" applyBorder="1" applyAlignment="1">
      <alignment horizontal="center" vertical="center" wrapText="1"/>
    </xf>
    <xf numFmtId="166" fontId="26" fillId="4" borderId="18" xfId="0" applyNumberFormat="1" applyFont="1" applyFill="1" applyBorder="1" applyAlignment="1">
      <alignment horizontal="center" vertical="center"/>
    </xf>
    <xf numFmtId="2" fontId="8" fillId="3" borderId="37" xfId="0" applyNumberFormat="1" applyFont="1" applyFill="1" applyBorder="1" applyAlignment="1">
      <alignment horizontal="center" vertical="center" wrapText="1"/>
    </xf>
    <xf numFmtId="2" fontId="21" fillId="3" borderId="20" xfId="0" applyNumberFormat="1" applyFont="1" applyFill="1" applyBorder="1" applyAlignment="1">
      <alignment horizontal="center" vertical="center" wrapText="1"/>
    </xf>
    <xf numFmtId="2" fontId="22" fillId="3" borderId="17" xfId="0" applyNumberFormat="1" applyFont="1" applyFill="1" applyBorder="1" applyAlignment="1">
      <alignment horizontal="center" vertical="center" wrapText="1"/>
    </xf>
    <xf numFmtId="164" fontId="23" fillId="3" borderId="17" xfId="0" applyNumberFormat="1" applyFont="1" applyFill="1" applyBorder="1" applyAlignment="1">
      <alignment horizontal="center" vertical="center" wrapText="1"/>
    </xf>
    <xf numFmtId="10" fontId="24" fillId="3" borderId="38" xfId="0" applyNumberFormat="1" applyFont="1" applyFill="1" applyBorder="1" applyAlignment="1">
      <alignment horizontal="center" vertical="center" wrapText="1"/>
    </xf>
    <xf numFmtId="2" fontId="23" fillId="3" borderId="17" xfId="0" applyNumberFormat="1" applyFont="1" applyFill="1" applyBorder="1" applyAlignment="1">
      <alignment horizontal="center" vertical="center" wrapText="1"/>
    </xf>
    <xf numFmtId="2" fontId="22" fillId="3" borderId="19" xfId="0" applyNumberFormat="1" applyFont="1" applyFill="1" applyBorder="1" applyAlignment="1">
      <alignment horizontal="center" vertical="center" wrapText="1"/>
    </xf>
    <xf numFmtId="166" fontId="25" fillId="3" borderId="18" xfId="0" applyNumberFormat="1" applyFont="1" applyFill="1" applyBorder="1" applyAlignment="1">
      <alignment horizontal="center" vertical="center" wrapText="1"/>
    </xf>
    <xf numFmtId="167" fontId="23" fillId="3" borderId="16" xfId="0" applyNumberFormat="1" applyFont="1" applyFill="1" applyBorder="1" applyAlignment="1">
      <alignment horizontal="center" vertical="center" wrapText="1"/>
    </xf>
    <xf numFmtId="167" fontId="22" fillId="3" borderId="39" xfId="0" applyNumberFormat="1" applyFont="1" applyFill="1" applyBorder="1" applyAlignment="1">
      <alignment horizontal="center" vertical="center" wrapText="1"/>
    </xf>
    <xf numFmtId="166" fontId="26" fillId="3" borderId="18" xfId="0" applyNumberFormat="1" applyFont="1" applyFill="1" applyBorder="1" applyAlignment="1">
      <alignment horizontal="center" vertical="center"/>
    </xf>
    <xf numFmtId="9" fontId="12" fillId="4" borderId="21" xfId="0" applyNumberFormat="1" applyFont="1" applyFill="1" applyBorder="1" applyAlignment="1">
      <alignment horizontal="center" vertical="center" wrapText="1"/>
    </xf>
    <xf numFmtId="2" fontId="8" fillId="3" borderId="45" xfId="0" applyNumberFormat="1" applyFont="1" applyFill="1" applyBorder="1" applyAlignment="1">
      <alignment horizontal="center" vertical="center" wrapText="1"/>
    </xf>
    <xf numFmtId="2" fontId="21" fillId="3" borderId="46" xfId="0" applyNumberFormat="1" applyFont="1" applyFill="1" applyBorder="1" applyAlignment="1">
      <alignment horizontal="center" vertical="center" wrapText="1"/>
    </xf>
    <xf numFmtId="2" fontId="22" fillId="3" borderId="7" xfId="0" applyNumberFormat="1" applyFont="1" applyFill="1" applyBorder="1" applyAlignment="1">
      <alignment horizontal="center" vertical="center" wrapText="1"/>
    </xf>
    <xf numFmtId="164" fontId="23" fillId="3" borderId="7" xfId="0" applyNumberFormat="1" applyFont="1" applyFill="1" applyBorder="1" applyAlignment="1">
      <alignment horizontal="center" vertical="center" wrapText="1"/>
    </xf>
    <xf numFmtId="10" fontId="24" fillId="3" borderId="49" xfId="0" applyNumberFormat="1" applyFont="1" applyFill="1" applyBorder="1" applyAlignment="1">
      <alignment horizontal="center" vertical="center" wrapText="1"/>
    </xf>
    <xf numFmtId="2" fontId="23" fillId="3" borderId="7" xfId="0" applyNumberFormat="1" applyFont="1" applyFill="1" applyBorder="1" applyAlignment="1">
      <alignment horizontal="center" vertical="center" wrapText="1"/>
    </xf>
    <xf numFmtId="2" fontId="22" fillId="3" borderId="48" xfId="0" applyNumberFormat="1" applyFont="1" applyFill="1" applyBorder="1" applyAlignment="1">
      <alignment horizontal="center" vertical="center" wrapText="1"/>
    </xf>
    <xf numFmtId="166" fontId="25" fillId="3" borderId="8" xfId="0" applyNumberFormat="1" applyFont="1" applyFill="1" applyBorder="1" applyAlignment="1">
      <alignment horizontal="center" vertical="center" wrapText="1"/>
    </xf>
    <xf numFmtId="167" fontId="23" fillId="3" borderId="6" xfId="0" applyNumberFormat="1" applyFont="1" applyFill="1" applyBorder="1" applyAlignment="1">
      <alignment horizontal="center" vertical="center" wrapText="1"/>
    </xf>
    <xf numFmtId="167" fontId="22" fillId="3" borderId="50" xfId="0" applyNumberFormat="1" applyFont="1" applyFill="1" applyBorder="1" applyAlignment="1">
      <alignment horizontal="center" vertical="center" wrapText="1"/>
    </xf>
    <xf numFmtId="166" fontId="26" fillId="3" borderId="8" xfId="0" applyNumberFormat="1" applyFont="1" applyFill="1" applyBorder="1" applyAlignment="1">
      <alignment horizontal="center" vertical="center"/>
    </xf>
    <xf numFmtId="0" fontId="17" fillId="3" borderId="55" xfId="0" applyFont="1" applyFill="1" applyBorder="1" applyAlignment="1">
      <alignment horizontal="center" vertical="center" wrapText="1"/>
    </xf>
    <xf numFmtId="9" fontId="12" fillId="3" borderId="21" xfId="0" applyNumberFormat="1" applyFont="1" applyFill="1" applyBorder="1" applyAlignment="1">
      <alignment horizontal="center" vertical="center" wrapText="1"/>
    </xf>
    <xf numFmtId="0" fontId="8" fillId="3" borderId="56" xfId="0" applyFont="1" applyFill="1" applyBorder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6" fillId="3" borderId="14" xfId="0" applyFont="1" applyFill="1" applyBorder="1" applyAlignment="1">
      <alignment horizontal="center" vertical="center"/>
    </xf>
    <xf numFmtId="0" fontId="6" fillId="3" borderId="23" xfId="0" applyFont="1" applyFill="1" applyBorder="1" applyAlignment="1">
      <alignment horizontal="center" vertical="center"/>
    </xf>
    <xf numFmtId="0" fontId="6" fillId="3" borderId="36" xfId="0" applyFont="1" applyFill="1" applyBorder="1" applyAlignment="1">
      <alignment horizontal="center" vertical="center"/>
    </xf>
    <xf numFmtId="0" fontId="6" fillId="3" borderId="16" xfId="0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16" xfId="0" applyFont="1" applyFill="1" applyBorder="1" applyAlignment="1">
      <alignment horizontal="center" vertical="center"/>
    </xf>
    <xf numFmtId="0" fontId="6" fillId="3" borderId="17" xfId="0" applyFont="1" applyFill="1" applyBorder="1" applyAlignment="1">
      <alignment horizontal="center" vertical="center"/>
    </xf>
    <xf numFmtId="0" fontId="6" fillId="3" borderId="18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6" fillId="3" borderId="19" xfId="0" applyFont="1" applyFill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25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25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6" fillId="3" borderId="9" xfId="0" applyFont="1" applyFill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center" vertical="center" wrapText="1"/>
    </xf>
    <xf numFmtId="0" fontId="6" fillId="3" borderId="26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24" xfId="0" applyFont="1" applyFill="1" applyBorder="1" applyAlignment="1">
      <alignment horizontal="center" vertical="center" wrapText="1"/>
    </xf>
    <xf numFmtId="0" fontId="5" fillId="3" borderId="25" xfId="0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16" fillId="3" borderId="3" xfId="0" applyFont="1" applyFill="1" applyBorder="1" applyAlignment="1">
      <alignment horizontal="center" vertical="center" wrapText="1"/>
    </xf>
    <xf numFmtId="0" fontId="16" fillId="3" borderId="4" xfId="0" applyFont="1" applyFill="1" applyBorder="1" applyAlignment="1">
      <alignment horizontal="center" vertical="center" wrapText="1"/>
    </xf>
    <xf numFmtId="0" fontId="16" fillId="3" borderId="5" xfId="0" applyFont="1" applyFill="1" applyBorder="1" applyAlignment="1">
      <alignment horizontal="center" vertical="center" wrapText="1"/>
    </xf>
    <xf numFmtId="0" fontId="16" fillId="3" borderId="24" xfId="0" applyFont="1" applyFill="1" applyBorder="1" applyAlignment="1">
      <alignment horizontal="center" vertical="center" wrapText="1"/>
    </xf>
    <xf numFmtId="0" fontId="16" fillId="3" borderId="25" xfId="0" applyFont="1" applyFill="1" applyBorder="1" applyAlignment="1">
      <alignment horizontal="center" vertical="center" wrapText="1"/>
    </xf>
    <xf numFmtId="0" fontId="17" fillId="3" borderId="14" xfId="0" applyFont="1" applyFill="1" applyBorder="1" applyAlignment="1">
      <alignment horizontal="center" vertical="center"/>
    </xf>
    <xf numFmtId="0" fontId="17" fillId="3" borderId="23" xfId="0" applyFont="1" applyFill="1" applyBorder="1" applyAlignment="1">
      <alignment horizontal="center" vertical="center"/>
    </xf>
    <xf numFmtId="0" fontId="17" fillId="3" borderId="36" xfId="0" applyFont="1" applyFill="1" applyBorder="1" applyAlignment="1">
      <alignment horizontal="center" vertical="center"/>
    </xf>
    <xf numFmtId="0" fontId="17" fillId="3" borderId="1" xfId="0" applyFont="1" applyFill="1" applyBorder="1" applyAlignment="1">
      <alignment horizontal="center" vertical="center" wrapText="1"/>
    </xf>
    <xf numFmtId="0" fontId="17" fillId="3" borderId="2" xfId="0" applyFont="1" applyFill="1" applyBorder="1" applyAlignment="1">
      <alignment horizontal="center" vertical="center" wrapText="1"/>
    </xf>
    <xf numFmtId="0" fontId="17" fillId="3" borderId="3" xfId="0" applyFont="1" applyFill="1" applyBorder="1" applyAlignment="1">
      <alignment horizontal="center" vertical="center" wrapText="1"/>
    </xf>
    <xf numFmtId="0" fontId="17" fillId="3" borderId="9" xfId="0" applyFont="1" applyFill="1" applyBorder="1" applyAlignment="1">
      <alignment horizontal="center" vertical="center" wrapText="1"/>
    </xf>
    <xf numFmtId="0" fontId="17" fillId="3" borderId="15" xfId="0" applyFont="1" applyFill="1" applyBorder="1" applyAlignment="1">
      <alignment horizontal="center" vertical="center" wrapText="1"/>
    </xf>
    <xf numFmtId="0" fontId="17" fillId="3" borderId="26" xfId="0" applyFont="1" applyFill="1" applyBorder="1" applyAlignment="1">
      <alignment horizontal="center" vertical="center" wrapText="1"/>
    </xf>
    <xf numFmtId="0" fontId="17" fillId="3" borderId="19" xfId="0" applyFont="1" applyFill="1" applyBorder="1" applyAlignment="1">
      <alignment horizontal="center" vertical="center" wrapText="1"/>
    </xf>
    <xf numFmtId="0" fontId="17" fillId="3" borderId="20" xfId="0" applyFont="1" applyFill="1" applyBorder="1" applyAlignment="1">
      <alignment horizontal="center" vertical="center" wrapText="1"/>
    </xf>
    <xf numFmtId="0" fontId="17" fillId="3" borderId="21" xfId="0" applyFont="1" applyFill="1" applyBorder="1" applyAlignment="1">
      <alignment horizontal="center" vertical="center" wrapText="1"/>
    </xf>
    <xf numFmtId="0" fontId="17" fillId="3" borderId="16" xfId="0" applyFont="1" applyFill="1" applyBorder="1" applyAlignment="1">
      <alignment horizontal="center" vertical="center" wrapText="1"/>
    </xf>
    <xf numFmtId="0" fontId="17" fillId="3" borderId="17" xfId="0" applyFont="1" applyFill="1" applyBorder="1" applyAlignment="1">
      <alignment horizontal="center" vertical="center" wrapText="1"/>
    </xf>
    <xf numFmtId="0" fontId="17" fillId="3" borderId="18" xfId="0" applyFont="1" applyFill="1" applyBorder="1" applyAlignment="1">
      <alignment horizontal="center" vertical="center" wrapText="1"/>
    </xf>
    <xf numFmtId="0" fontId="17" fillId="3" borderId="10" xfId="0" applyFont="1" applyFill="1" applyBorder="1" applyAlignment="1">
      <alignment horizontal="center" vertical="center"/>
    </xf>
    <xf numFmtId="0" fontId="17" fillId="3" borderId="11" xfId="0" applyFont="1" applyFill="1" applyBorder="1" applyAlignment="1">
      <alignment horizontal="center" vertical="center"/>
    </xf>
    <xf numFmtId="0" fontId="17" fillId="3" borderId="12" xfId="0" applyFont="1" applyFill="1" applyBorder="1" applyAlignment="1">
      <alignment horizontal="center" vertical="center"/>
    </xf>
    <xf numFmtId="0" fontId="17" fillId="3" borderId="16" xfId="0" applyFont="1" applyFill="1" applyBorder="1" applyAlignment="1">
      <alignment horizontal="center" vertical="center"/>
    </xf>
    <xf numFmtId="0" fontId="17" fillId="3" borderId="17" xfId="0" applyFont="1" applyFill="1" applyBorder="1" applyAlignment="1">
      <alignment horizontal="center" vertical="center"/>
    </xf>
    <xf numFmtId="0" fontId="17" fillId="3" borderId="18" xfId="0" applyFont="1" applyFill="1" applyBorder="1" applyAlignment="1">
      <alignment horizontal="center" vertical="center"/>
    </xf>
    <xf numFmtId="0" fontId="17" fillId="3" borderId="3" xfId="0" applyFont="1" applyFill="1" applyBorder="1" applyAlignment="1">
      <alignment horizontal="center" vertical="center"/>
    </xf>
    <xf numFmtId="0" fontId="17" fillId="3" borderId="5" xfId="0" applyFont="1" applyFill="1" applyBorder="1" applyAlignment="1">
      <alignment horizontal="center" vertical="center"/>
    </xf>
    <xf numFmtId="0" fontId="17" fillId="3" borderId="25" xfId="0" applyFont="1" applyFill="1" applyBorder="1" applyAlignment="1">
      <alignment horizontal="center" vertical="center"/>
    </xf>
    <xf numFmtId="0" fontId="17" fillId="3" borderId="5" xfId="0" applyFont="1" applyFill="1" applyBorder="1" applyAlignment="1">
      <alignment horizontal="center" vertical="center" wrapText="1"/>
    </xf>
    <xf numFmtId="0" fontId="17" fillId="3" borderId="25" xfId="0" applyFont="1" applyFill="1" applyBorder="1" applyAlignment="1">
      <alignment horizontal="center" vertical="center" wrapText="1"/>
    </xf>
    <xf numFmtId="0" fontId="17" fillId="3" borderId="2" xfId="0" applyFont="1" applyFill="1" applyBorder="1" applyAlignment="1">
      <alignment horizontal="center" vertical="center"/>
    </xf>
    <xf numFmtId="0" fontId="17" fillId="3" borderId="1" xfId="0" applyFont="1" applyFill="1" applyBorder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18" fillId="3" borderId="1" xfId="0" applyFont="1" applyFill="1" applyBorder="1" applyAlignment="1">
      <alignment horizontal="center" vertical="center" wrapText="1"/>
    </xf>
    <xf numFmtId="0" fontId="18" fillId="3" borderId="3" xfId="0" applyFont="1" applyFill="1" applyBorder="1" applyAlignment="1">
      <alignment horizontal="center" vertical="center" wrapText="1"/>
    </xf>
    <xf numFmtId="0" fontId="18" fillId="3" borderId="4" xfId="0" applyFont="1" applyFill="1" applyBorder="1" applyAlignment="1">
      <alignment horizontal="center" vertical="center" wrapText="1"/>
    </xf>
    <xf numFmtId="0" fontId="18" fillId="3" borderId="5" xfId="0" applyFont="1" applyFill="1" applyBorder="1" applyAlignment="1">
      <alignment horizontal="center" vertical="center" wrapText="1"/>
    </xf>
    <xf numFmtId="0" fontId="18" fillId="3" borderId="24" xfId="0" applyFont="1" applyFill="1" applyBorder="1" applyAlignment="1">
      <alignment horizontal="center" vertical="center" wrapText="1"/>
    </xf>
    <xf numFmtId="0" fontId="18" fillId="3" borderId="25" xfId="0" applyFont="1" applyFill="1" applyBorder="1" applyAlignment="1">
      <alignment horizontal="center" vertical="center" wrapText="1"/>
    </xf>
    <xf numFmtId="0" fontId="27" fillId="0" borderId="0" xfId="0" applyFont="1" applyAlignment="1">
      <alignment horizontal="left" vertical="center"/>
    </xf>
    <xf numFmtId="0" fontId="17" fillId="3" borderId="54" xfId="0" applyFont="1" applyFill="1" applyBorder="1" applyAlignment="1">
      <alignment horizontal="center" vertical="center" wrapText="1"/>
    </xf>
    <xf numFmtId="0" fontId="17" fillId="3" borderId="22" xfId="0" applyFont="1" applyFill="1" applyBorder="1" applyAlignment="1">
      <alignment horizontal="center" vertical="center" wrapText="1"/>
    </xf>
    <xf numFmtId="0" fontId="17" fillId="3" borderId="3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www.wps.cn/officeDocument/2020/cellImage" Target="NUL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982444</xdr:colOff>
      <xdr:row>0</xdr:row>
      <xdr:rowOff>50750</xdr:rowOff>
    </xdr:from>
    <xdr:to>
      <xdr:col>3</xdr:col>
      <xdr:colOff>232831</xdr:colOff>
      <xdr:row>3</xdr:row>
      <xdr:rowOff>164938</xdr:rowOff>
    </xdr:to>
    <xdr:pic>
      <xdr:nvPicPr>
        <xdr:cNvPr id="2" name="Imagen 1" descr=" 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228448" y="61057"/>
          <a:ext cx="1581254" cy="992554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312003</xdr:colOff>
      <xdr:row>0</xdr:row>
      <xdr:rowOff>38062</xdr:rowOff>
    </xdr:from>
    <xdr:to>
      <xdr:col>33</xdr:col>
      <xdr:colOff>107638</xdr:colOff>
      <xdr:row>3</xdr:row>
      <xdr:rowOff>152251</xdr:rowOff>
    </xdr:to>
    <xdr:pic>
      <xdr:nvPicPr>
        <xdr:cNvPr id="3" name="Imagen 1" descr=" 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3904165" y="48846"/>
          <a:ext cx="1553690" cy="98913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1197933</xdr:colOff>
      <xdr:row>0</xdr:row>
      <xdr:rowOff>101575</xdr:rowOff>
    </xdr:from>
    <xdr:to>
      <xdr:col>4</xdr:col>
      <xdr:colOff>37827</xdr:colOff>
      <xdr:row>3</xdr:row>
      <xdr:rowOff>190313</xdr:rowOff>
    </xdr:to>
    <xdr:pic>
      <xdr:nvPicPr>
        <xdr:cNvPr id="2" name="Imagen 1" descr=" 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447800" y="104775"/>
          <a:ext cx="1476375" cy="9525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151785</xdr:colOff>
      <xdr:row>0</xdr:row>
      <xdr:rowOff>50229</xdr:rowOff>
    </xdr:from>
    <xdr:to>
      <xdr:col>32</xdr:col>
      <xdr:colOff>223609</xdr:colOff>
      <xdr:row>3</xdr:row>
      <xdr:rowOff>139563</xdr:rowOff>
    </xdr:to>
    <xdr:pic>
      <xdr:nvPicPr>
        <xdr:cNvPr id="3" name="Imagen 1" descr=" 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3506449" y="57150"/>
          <a:ext cx="1538289" cy="95635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938419</xdr:colOff>
      <xdr:row>0</xdr:row>
      <xdr:rowOff>50229</xdr:rowOff>
    </xdr:from>
    <xdr:to>
      <xdr:col>3</xdr:col>
      <xdr:colOff>65169</xdr:colOff>
      <xdr:row>3</xdr:row>
      <xdr:rowOff>164603</xdr:rowOff>
    </xdr:to>
    <xdr:pic>
      <xdr:nvPicPr>
        <xdr:cNvPr id="2" name="Imagen 1" descr=" 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122125" y="52192"/>
          <a:ext cx="1448321" cy="900308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456410</xdr:colOff>
      <xdr:row>0</xdr:row>
      <xdr:rowOff>50229</xdr:rowOff>
    </xdr:from>
    <xdr:to>
      <xdr:col>33</xdr:col>
      <xdr:colOff>169530</xdr:colOff>
      <xdr:row>3</xdr:row>
      <xdr:rowOff>164603</xdr:rowOff>
    </xdr:to>
    <xdr:pic>
      <xdr:nvPicPr>
        <xdr:cNvPr id="3" name="Imagen 1" descr=" 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3648151" y="52191"/>
          <a:ext cx="1448321" cy="900308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852687</xdr:colOff>
      <xdr:row>0</xdr:row>
      <xdr:rowOff>63437</xdr:rowOff>
    </xdr:from>
    <xdr:to>
      <xdr:col>3</xdr:col>
      <xdr:colOff>235004</xdr:colOff>
      <xdr:row>3</xdr:row>
      <xdr:rowOff>126131</xdr:rowOff>
    </xdr:to>
    <xdr:pic>
      <xdr:nvPicPr>
        <xdr:cNvPr id="2" name="Imagen 1" descr=" 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088572" y="66675"/>
          <a:ext cx="1694707" cy="957324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531249</xdr:colOff>
      <xdr:row>0</xdr:row>
      <xdr:rowOff>50750</xdr:rowOff>
    </xdr:from>
    <xdr:to>
      <xdr:col>34</xdr:col>
      <xdr:colOff>24603</xdr:colOff>
      <xdr:row>3</xdr:row>
      <xdr:rowOff>126131</xdr:rowOff>
    </xdr:to>
    <xdr:pic>
      <xdr:nvPicPr>
        <xdr:cNvPr id="3" name="Imagen 1" descr=" 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3706104" y="61852"/>
          <a:ext cx="1558637" cy="957324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104268</xdr:colOff>
      <xdr:row>0</xdr:row>
      <xdr:rowOff>63437</xdr:rowOff>
    </xdr:from>
    <xdr:to>
      <xdr:col>1</xdr:col>
      <xdr:colOff>1684521</xdr:colOff>
      <xdr:row>3</xdr:row>
      <xdr:rowOff>152251</xdr:rowOff>
    </xdr:to>
    <xdr:pic>
      <xdr:nvPicPr>
        <xdr:cNvPr id="2" name="Imagen 1" descr=" 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85750" y="66675"/>
          <a:ext cx="1581150" cy="981074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56936</xdr:colOff>
      <xdr:row>0</xdr:row>
      <xdr:rowOff>76125</xdr:rowOff>
    </xdr:from>
    <xdr:to>
      <xdr:col>35</xdr:col>
      <xdr:colOff>142815</xdr:colOff>
      <xdr:row>3</xdr:row>
      <xdr:rowOff>177626</xdr:rowOff>
    </xdr:to>
    <xdr:pic>
      <xdr:nvPicPr>
        <xdr:cNvPr id="3" name="Imagen 1" descr=" 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4182725" y="85725"/>
          <a:ext cx="1581150" cy="981074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29"/>
  <sheetViews>
    <sheetView workbookViewId="0">
      <selection activeCell="V8" sqref="V8:V27"/>
    </sheetView>
  </sheetViews>
  <sheetFormatPr defaultColWidth="10" defaultRowHeight="15"/>
  <cols>
    <col min="1" max="1" width="3.7109375" customWidth="1"/>
    <col min="2" max="2" width="30.140625" customWidth="1"/>
    <col min="3" max="4" width="4.7109375" customWidth="1"/>
    <col min="5" max="7" width="6.7109375" style="1" customWidth="1"/>
    <col min="8" max="8" width="4.28515625" style="1" customWidth="1"/>
    <col min="9" max="10" width="5.7109375" style="1" customWidth="1"/>
    <col min="11" max="11" width="6.85546875" style="1" customWidth="1"/>
    <col min="12" max="13" width="4.7109375" style="1" customWidth="1"/>
    <col min="14" max="14" width="6.42578125" style="1" customWidth="1"/>
    <col min="15" max="16" width="4.7109375" style="1" customWidth="1"/>
    <col min="17" max="17" width="6.42578125" style="1" customWidth="1"/>
    <col min="18" max="18" width="8.42578125" style="1" customWidth="1"/>
    <col min="19" max="19" width="5.28515625" style="1" customWidth="1"/>
    <col min="20" max="21" width="4.7109375" style="1" customWidth="1"/>
    <col min="22" max="22" width="6.7109375" style="1" customWidth="1"/>
    <col min="23" max="24" width="5" style="1" customWidth="1"/>
    <col min="25" max="25" width="8.7109375" style="1" customWidth="1"/>
    <col min="26" max="26" width="6" style="1" customWidth="1"/>
    <col min="27" max="27" width="6.7109375" style="1" customWidth="1"/>
    <col min="28" max="28" width="8.5703125" style="1" customWidth="1"/>
    <col min="29" max="29" width="15.7109375" style="1" customWidth="1"/>
    <col min="30" max="30" width="13.7109375" style="1" customWidth="1"/>
    <col min="31" max="33" width="4.140625" style="1" customWidth="1"/>
    <col min="34" max="35" width="5" style="1" customWidth="1"/>
    <col min="36" max="36" width="6.42578125" customWidth="1"/>
  </cols>
  <sheetData>
    <row r="1" spans="1:41" ht="23.25" customHeight="1">
      <c r="A1" s="187"/>
      <c r="B1" s="188"/>
      <c r="C1" s="196" t="s">
        <v>0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96"/>
      <c r="P1" s="196"/>
      <c r="Q1" s="196"/>
      <c r="R1" s="196"/>
      <c r="S1" s="196"/>
      <c r="T1" s="196"/>
      <c r="U1" s="196"/>
      <c r="V1" s="196"/>
      <c r="W1" s="196"/>
      <c r="X1" s="196"/>
      <c r="Y1" s="196"/>
      <c r="Z1" s="196"/>
      <c r="AA1" s="196"/>
      <c r="AB1" s="196"/>
      <c r="AC1" s="196"/>
      <c r="AD1" s="196"/>
      <c r="AE1" s="198"/>
      <c r="AF1" s="198"/>
      <c r="AG1" s="198"/>
      <c r="AH1" s="198"/>
      <c r="AI1" s="198"/>
      <c r="AJ1" s="199"/>
    </row>
    <row r="2" spans="1:41" ht="23.25" customHeight="1">
      <c r="A2" s="189"/>
      <c r="B2" s="190"/>
      <c r="C2" s="197"/>
      <c r="D2" s="197"/>
      <c r="E2" s="197"/>
      <c r="F2" s="197"/>
      <c r="G2" s="197"/>
      <c r="H2" s="197"/>
      <c r="I2" s="197"/>
      <c r="J2" s="197"/>
      <c r="K2" s="197"/>
      <c r="L2" s="197"/>
      <c r="M2" s="197"/>
      <c r="N2" s="197"/>
      <c r="O2" s="197"/>
      <c r="P2" s="197"/>
      <c r="Q2" s="197"/>
      <c r="R2" s="197"/>
      <c r="S2" s="197"/>
      <c r="T2" s="197"/>
      <c r="U2" s="197"/>
      <c r="V2" s="197"/>
      <c r="W2" s="197"/>
      <c r="X2" s="197"/>
      <c r="Y2" s="197"/>
      <c r="Z2" s="197"/>
      <c r="AA2" s="197"/>
      <c r="AB2" s="197"/>
      <c r="AC2" s="197"/>
      <c r="AD2" s="197"/>
      <c r="AE2" s="200"/>
      <c r="AF2" s="200"/>
      <c r="AG2" s="200"/>
      <c r="AH2" s="200"/>
      <c r="AI2" s="200"/>
      <c r="AJ2" s="201"/>
    </row>
    <row r="3" spans="1:41" ht="23.25" customHeight="1">
      <c r="A3" s="189"/>
      <c r="B3" s="190"/>
      <c r="C3" s="208" t="s">
        <v>1</v>
      </c>
      <c r="D3" s="208"/>
      <c r="E3" s="208"/>
      <c r="F3" s="208"/>
      <c r="G3" s="208"/>
      <c r="H3" s="208"/>
      <c r="I3" s="208"/>
      <c r="J3" s="208"/>
      <c r="K3" s="208"/>
      <c r="L3" s="208"/>
      <c r="M3" s="208"/>
      <c r="N3" s="208"/>
      <c r="O3" s="208"/>
      <c r="P3" s="208"/>
      <c r="Q3" s="208"/>
      <c r="R3" s="208"/>
      <c r="S3" s="208"/>
      <c r="T3" s="208"/>
      <c r="U3" s="208"/>
      <c r="V3" s="208"/>
      <c r="W3" s="208"/>
      <c r="X3" s="208"/>
      <c r="Y3" s="208"/>
      <c r="Z3" s="208"/>
      <c r="AA3" s="208"/>
      <c r="AB3" s="208"/>
      <c r="AC3" s="208"/>
      <c r="AD3" s="208"/>
      <c r="AE3" s="200"/>
      <c r="AF3" s="200"/>
      <c r="AG3" s="200"/>
      <c r="AH3" s="200"/>
      <c r="AI3" s="200"/>
      <c r="AJ3" s="201"/>
    </row>
    <row r="4" spans="1:41" ht="23.25" customHeight="1">
      <c r="A4" s="191"/>
      <c r="B4" s="192"/>
      <c r="C4" s="208"/>
      <c r="D4" s="208"/>
      <c r="E4" s="208"/>
      <c r="F4" s="208"/>
      <c r="G4" s="208"/>
      <c r="H4" s="208"/>
      <c r="I4" s="208"/>
      <c r="J4" s="208"/>
      <c r="K4" s="208"/>
      <c r="L4" s="208"/>
      <c r="M4" s="208"/>
      <c r="N4" s="208"/>
      <c r="O4" s="208"/>
      <c r="P4" s="208"/>
      <c r="Q4" s="208"/>
      <c r="R4" s="208"/>
      <c r="S4" s="208"/>
      <c r="T4" s="208"/>
      <c r="U4" s="208"/>
      <c r="V4" s="208"/>
      <c r="W4" s="208"/>
      <c r="X4" s="208"/>
      <c r="Y4" s="208"/>
      <c r="Z4" s="208"/>
      <c r="AA4" s="208"/>
      <c r="AB4" s="208"/>
      <c r="AC4" s="208"/>
      <c r="AD4" s="208"/>
      <c r="AE4" s="202"/>
      <c r="AF4" s="202"/>
      <c r="AG4" s="202"/>
      <c r="AH4" s="202"/>
      <c r="AI4" s="202"/>
      <c r="AJ4" s="203"/>
    </row>
    <row r="5" spans="1:41" ht="14.25" customHeight="1">
      <c r="A5" s="215" t="s">
        <v>2</v>
      </c>
      <c r="B5" s="216"/>
      <c r="C5" s="209" t="s">
        <v>3</v>
      </c>
      <c r="D5" s="186" t="s">
        <v>4</v>
      </c>
      <c r="E5" s="178" t="s">
        <v>5</v>
      </c>
      <c r="F5" s="179"/>
      <c r="G5" s="180"/>
      <c r="H5" s="184" t="s">
        <v>6</v>
      </c>
      <c r="I5" s="185"/>
      <c r="J5" s="185"/>
      <c r="K5" s="186"/>
      <c r="L5" s="179" t="s">
        <v>7</v>
      </c>
      <c r="M5" s="179"/>
      <c r="N5" s="180"/>
      <c r="O5" s="178" t="s">
        <v>8</v>
      </c>
      <c r="P5" s="179"/>
      <c r="Q5" s="179"/>
      <c r="R5" s="179"/>
      <c r="S5" s="180"/>
      <c r="T5" s="178" t="s">
        <v>9</v>
      </c>
      <c r="U5" s="179"/>
      <c r="V5" s="180"/>
      <c r="W5" s="178" t="s">
        <v>10</v>
      </c>
      <c r="X5" s="179"/>
      <c r="Y5" s="180"/>
      <c r="Z5" s="212" t="s">
        <v>11</v>
      </c>
      <c r="AA5" s="213"/>
      <c r="AB5" s="214"/>
      <c r="AC5" s="2" t="s">
        <v>12</v>
      </c>
      <c r="AD5" s="3" t="s">
        <v>13</v>
      </c>
      <c r="AE5" s="180" t="s">
        <v>14</v>
      </c>
      <c r="AF5" s="172" t="s">
        <v>15</v>
      </c>
      <c r="AG5" s="180" t="s">
        <v>16</v>
      </c>
      <c r="AH5" s="184" t="s">
        <v>17</v>
      </c>
      <c r="AI5" s="185"/>
      <c r="AJ5" s="186"/>
    </row>
    <row r="6" spans="1:41" ht="15" customHeight="1">
      <c r="A6" s="217"/>
      <c r="B6" s="218"/>
      <c r="C6" s="210"/>
      <c r="D6" s="206"/>
      <c r="E6" s="175" t="s">
        <v>18</v>
      </c>
      <c r="F6" s="176"/>
      <c r="G6" s="177"/>
      <c r="H6" s="175" t="s">
        <v>19</v>
      </c>
      <c r="I6" s="176"/>
      <c r="J6" s="176"/>
      <c r="K6" s="177"/>
      <c r="L6" s="193" t="s">
        <v>20</v>
      </c>
      <c r="M6" s="194"/>
      <c r="N6" s="195"/>
      <c r="O6" s="181" t="s">
        <v>21</v>
      </c>
      <c r="P6" s="182"/>
      <c r="Q6" s="182"/>
      <c r="R6" s="182"/>
      <c r="S6" s="183"/>
      <c r="T6" s="181" t="s">
        <v>22</v>
      </c>
      <c r="U6" s="182"/>
      <c r="V6" s="183"/>
      <c r="W6" s="181" t="s">
        <v>23</v>
      </c>
      <c r="X6" s="182"/>
      <c r="Y6" s="183"/>
      <c r="Z6" s="4" t="s">
        <v>24</v>
      </c>
      <c r="AA6" s="5" t="s">
        <v>25</v>
      </c>
      <c r="AB6" s="6" t="s">
        <v>26</v>
      </c>
      <c r="AC6" s="7" t="s">
        <v>27</v>
      </c>
      <c r="AD6" s="8" t="s">
        <v>28</v>
      </c>
      <c r="AE6" s="204"/>
      <c r="AF6" s="173"/>
      <c r="AG6" s="204"/>
      <c r="AH6" s="175" t="s">
        <v>29</v>
      </c>
      <c r="AI6" s="176"/>
      <c r="AJ6" s="177"/>
    </row>
    <row r="7" spans="1:41" ht="15" customHeight="1">
      <c r="A7" s="219"/>
      <c r="B7" s="220"/>
      <c r="C7" s="211"/>
      <c r="D7" s="207"/>
      <c r="E7" s="9" t="s">
        <v>30</v>
      </c>
      <c r="F7" s="10" t="s">
        <v>31</v>
      </c>
      <c r="G7" s="11" t="s">
        <v>32</v>
      </c>
      <c r="H7" s="9" t="s">
        <v>33</v>
      </c>
      <c r="I7" s="11" t="s">
        <v>34</v>
      </c>
      <c r="J7" s="10" t="s">
        <v>35</v>
      </c>
      <c r="K7" s="12" t="s">
        <v>36</v>
      </c>
      <c r="L7" s="13" t="s">
        <v>37</v>
      </c>
      <c r="M7" s="10" t="s">
        <v>35</v>
      </c>
      <c r="N7" s="14" t="s">
        <v>36</v>
      </c>
      <c r="O7" s="9" t="s">
        <v>35</v>
      </c>
      <c r="P7" s="13" t="s">
        <v>37</v>
      </c>
      <c r="Q7" s="10" t="s">
        <v>36</v>
      </c>
      <c r="R7" s="15" t="s">
        <v>38</v>
      </c>
      <c r="S7" s="16" t="s">
        <v>39</v>
      </c>
      <c r="T7" s="9" t="s">
        <v>37</v>
      </c>
      <c r="U7" s="10" t="s">
        <v>35</v>
      </c>
      <c r="V7" s="14" t="s">
        <v>36</v>
      </c>
      <c r="W7" s="17" t="s">
        <v>40</v>
      </c>
      <c r="X7" s="18" t="s">
        <v>41</v>
      </c>
      <c r="Y7" s="11" t="s">
        <v>42</v>
      </c>
      <c r="Z7" s="17" t="s">
        <v>43</v>
      </c>
      <c r="AA7" s="19" t="s">
        <v>44</v>
      </c>
      <c r="AB7" s="20" t="s">
        <v>45</v>
      </c>
      <c r="AC7" s="21" t="s">
        <v>46</v>
      </c>
      <c r="AD7" s="22" t="s">
        <v>47</v>
      </c>
      <c r="AE7" s="205"/>
      <c r="AF7" s="174"/>
      <c r="AG7" s="205"/>
      <c r="AH7" s="17" t="s">
        <v>48</v>
      </c>
      <c r="AI7" s="18" t="s">
        <v>49</v>
      </c>
      <c r="AJ7" s="12" t="s">
        <v>50</v>
      </c>
    </row>
    <row r="8" spans="1:41" s="23" customFormat="1" ht="24" customHeight="1">
      <c r="A8" s="24">
        <v>1</v>
      </c>
      <c r="B8" s="25" t="s">
        <v>51</v>
      </c>
      <c r="C8" s="26">
        <v>22</v>
      </c>
      <c r="D8" s="27">
        <v>668</v>
      </c>
      <c r="E8" s="28">
        <v>21.5</v>
      </c>
      <c r="F8" s="29">
        <f t="shared" ref="F8:F27" si="0">(H8+(0.4*L8)-(0.7*M8)-(0.4*(O8-P8))+(0.7*X8)+(0.3*W8)+AG8+(0.7*AH8)+(0.7*AF8)-(0.4*AE8)-AI8)/C8</f>
        <v>14.83181818181818</v>
      </c>
      <c r="G8" s="30">
        <f t="shared" ref="G8:G27" si="1">F8*40/(D8/C8)</f>
        <v>19.538922155688621</v>
      </c>
      <c r="H8" s="31">
        <v>457</v>
      </c>
      <c r="I8" s="32">
        <f t="shared" ref="I8:I27" si="2">H8/C8</f>
        <v>20.772727272727273</v>
      </c>
      <c r="J8" s="33">
        <v>801</v>
      </c>
      <c r="K8" s="34">
        <f t="shared" ref="K8:K27" si="3">H8/J8</f>
        <v>0.57053682896379521</v>
      </c>
      <c r="L8" s="35">
        <v>147</v>
      </c>
      <c r="M8" s="36">
        <v>278</v>
      </c>
      <c r="N8" s="34">
        <f t="shared" ref="N8:N27" si="4">L8/M8</f>
        <v>0.52877697841726623</v>
      </c>
      <c r="O8" s="35">
        <v>154</v>
      </c>
      <c r="P8" s="35">
        <v>126</v>
      </c>
      <c r="Q8" s="37">
        <v>0.81399999999999995</v>
      </c>
      <c r="R8" s="38">
        <f t="shared" ref="R8:R27" si="5">O8/M8</f>
        <v>0.5539568345323741</v>
      </c>
      <c r="S8" s="39">
        <f t="shared" ref="S8:S27" si="6">O8*0.44</f>
        <v>67.760000000000005</v>
      </c>
      <c r="T8" s="26">
        <v>37</v>
      </c>
      <c r="U8" s="36">
        <v>91</v>
      </c>
      <c r="V8" s="34">
        <f t="shared" ref="V8:V27" si="7">T8/U8</f>
        <v>0.40659340659340659</v>
      </c>
      <c r="W8" s="31">
        <v>50</v>
      </c>
      <c r="X8" s="33">
        <v>14</v>
      </c>
      <c r="Y8" s="40">
        <f t="shared" ref="Y8:Y27" si="8">((W8+X8)/D8)*40</f>
        <v>3.8323353293413174</v>
      </c>
      <c r="Z8" s="31">
        <f t="shared" ref="Z8:Z27" si="9">M8+S8+AI8</f>
        <v>422.76</v>
      </c>
      <c r="AA8" s="41">
        <f t="shared" ref="AA8:AA27" si="10">Z8/C8</f>
        <v>19.216363636363635</v>
      </c>
      <c r="AB8" s="42">
        <f t="shared" ref="AB8:AB27" si="11">H8/Z8</f>
        <v>1.0809915791465607</v>
      </c>
      <c r="AC8" s="43">
        <f t="shared" ref="AC8:AC27" si="12">H8/(2*(S8+M8))</f>
        <v>0.66086302637667749</v>
      </c>
      <c r="AD8" s="44">
        <f t="shared" ref="AD8:AD27" si="13">((T8*0.5)+L8)/M8</f>
        <v>0.59532374100719421</v>
      </c>
      <c r="AE8" s="45">
        <v>29</v>
      </c>
      <c r="AF8" s="46">
        <v>0</v>
      </c>
      <c r="AG8" s="47">
        <v>29</v>
      </c>
      <c r="AH8" s="26">
        <v>73</v>
      </c>
      <c r="AI8" s="36">
        <v>77</v>
      </c>
      <c r="AJ8" s="48">
        <f t="shared" ref="AJ8:AJ27" si="14">AH8/AI8</f>
        <v>0.94805194805194803</v>
      </c>
    </row>
    <row r="9" spans="1:41" s="23" customFormat="1" ht="24" customHeight="1">
      <c r="A9" s="49">
        <v>2</v>
      </c>
      <c r="B9" s="50" t="s">
        <v>52</v>
      </c>
      <c r="C9" s="51">
        <v>25</v>
      </c>
      <c r="D9" s="52">
        <v>463</v>
      </c>
      <c r="E9" s="53">
        <v>9.5</v>
      </c>
      <c r="F9" s="54">
        <f t="shared" si="0"/>
        <v>9.0440000000000005</v>
      </c>
      <c r="G9" s="55">
        <f t="shared" si="1"/>
        <v>19.533477321814257</v>
      </c>
      <c r="H9" s="56">
        <v>250</v>
      </c>
      <c r="I9" s="57">
        <f t="shared" si="2"/>
        <v>10</v>
      </c>
      <c r="J9" s="58">
        <f>218+(U9*3)+O9</f>
        <v>541</v>
      </c>
      <c r="K9" s="59">
        <f t="shared" si="3"/>
        <v>0.46210720887245843</v>
      </c>
      <c r="L9" s="60">
        <v>59</v>
      </c>
      <c r="M9" s="61">
        <v>109</v>
      </c>
      <c r="N9" s="59">
        <f t="shared" si="4"/>
        <v>0.54128440366972475</v>
      </c>
      <c r="O9" s="60">
        <v>59</v>
      </c>
      <c r="P9" s="60">
        <v>54</v>
      </c>
      <c r="Q9" s="62">
        <f>54/59</f>
        <v>0.9152542372881356</v>
      </c>
      <c r="R9" s="63">
        <f t="shared" si="5"/>
        <v>0.54128440366972475</v>
      </c>
      <c r="S9" s="64">
        <f t="shared" si="6"/>
        <v>25.96</v>
      </c>
      <c r="T9" s="51">
        <v>26</v>
      </c>
      <c r="U9" s="61">
        <v>88</v>
      </c>
      <c r="V9" s="59">
        <f t="shared" si="7"/>
        <v>0.29545454545454547</v>
      </c>
      <c r="W9" s="56">
        <v>58</v>
      </c>
      <c r="X9" s="58">
        <v>19</v>
      </c>
      <c r="Y9" s="65">
        <f t="shared" si="8"/>
        <v>6.6522678185745141</v>
      </c>
      <c r="Z9" s="56">
        <f t="shared" si="9"/>
        <v>177.96</v>
      </c>
      <c r="AA9" s="66">
        <f t="shared" si="10"/>
        <v>7.1184000000000003</v>
      </c>
      <c r="AB9" s="67">
        <f t="shared" si="11"/>
        <v>1.4048100696785795</v>
      </c>
      <c r="AC9" s="68">
        <f t="shared" si="12"/>
        <v>0.9262003556609365</v>
      </c>
      <c r="AD9" s="69">
        <f t="shared" si="13"/>
        <v>0.66055045871559637</v>
      </c>
      <c r="AE9" s="70">
        <v>46</v>
      </c>
      <c r="AF9" s="71">
        <v>0</v>
      </c>
      <c r="AG9" s="72">
        <v>16</v>
      </c>
      <c r="AH9" s="51">
        <v>65</v>
      </c>
      <c r="AI9" s="61">
        <v>43</v>
      </c>
      <c r="AJ9" s="73">
        <f t="shared" si="14"/>
        <v>1.5116279069767442</v>
      </c>
    </row>
    <row r="10" spans="1:41" s="23" customFormat="1" ht="24" customHeight="1">
      <c r="A10" s="74">
        <v>3</v>
      </c>
      <c r="B10" s="75" t="s">
        <v>53</v>
      </c>
      <c r="C10" s="26">
        <v>23</v>
      </c>
      <c r="D10" s="27">
        <v>251</v>
      </c>
      <c r="E10" s="28">
        <v>8.1999999999999993</v>
      </c>
      <c r="F10" s="29">
        <f t="shared" si="0"/>
        <v>5.3130434782608686</v>
      </c>
      <c r="G10" s="30">
        <f t="shared" si="1"/>
        <v>19.474103585657367</v>
      </c>
      <c r="H10" s="31">
        <v>153</v>
      </c>
      <c r="I10" s="32">
        <f t="shared" si="2"/>
        <v>6.6521739130434785</v>
      </c>
      <c r="J10" s="33">
        <f>118+(U10*3)+O10</f>
        <v>365</v>
      </c>
      <c r="K10" s="34">
        <f t="shared" si="3"/>
        <v>0.41917808219178082</v>
      </c>
      <c r="L10" s="35">
        <v>53</v>
      </c>
      <c r="M10" s="36">
        <v>127</v>
      </c>
      <c r="N10" s="34">
        <f t="shared" si="4"/>
        <v>0.41732283464566927</v>
      </c>
      <c r="O10" s="35">
        <v>40</v>
      </c>
      <c r="P10" s="35">
        <v>28</v>
      </c>
      <c r="Q10" s="37">
        <f>28/40</f>
        <v>0.7</v>
      </c>
      <c r="R10" s="38">
        <f t="shared" si="5"/>
        <v>0.31496062992125984</v>
      </c>
      <c r="S10" s="39">
        <f t="shared" si="6"/>
        <v>17.600000000000001</v>
      </c>
      <c r="T10" s="26">
        <v>19</v>
      </c>
      <c r="U10" s="36">
        <v>69</v>
      </c>
      <c r="V10" s="34">
        <f t="shared" si="7"/>
        <v>0.27536231884057971</v>
      </c>
      <c r="W10" s="31">
        <v>46</v>
      </c>
      <c r="X10" s="33">
        <v>8</v>
      </c>
      <c r="Y10" s="40">
        <f t="shared" si="8"/>
        <v>8.6055776892430274</v>
      </c>
      <c r="Z10" s="31">
        <f t="shared" si="9"/>
        <v>173.6</v>
      </c>
      <c r="AA10" s="41">
        <f t="shared" si="10"/>
        <v>7.5478260869565217</v>
      </c>
      <c r="AB10" s="42">
        <f t="shared" si="11"/>
        <v>0.88133640552995396</v>
      </c>
      <c r="AC10" s="43">
        <f t="shared" si="12"/>
        <v>0.52904564315352698</v>
      </c>
      <c r="AD10" s="44">
        <f t="shared" si="13"/>
        <v>0.49212598425196852</v>
      </c>
      <c r="AE10" s="45">
        <v>42</v>
      </c>
      <c r="AF10" s="46">
        <v>10</v>
      </c>
      <c r="AG10" s="47">
        <v>17</v>
      </c>
      <c r="AH10" s="26">
        <v>63</v>
      </c>
      <c r="AI10" s="36">
        <v>29</v>
      </c>
      <c r="AJ10" s="48">
        <f t="shared" si="14"/>
        <v>2.1724137931034484</v>
      </c>
    </row>
    <row r="11" spans="1:41" s="23" customFormat="1" ht="24" customHeight="1">
      <c r="A11" s="49">
        <v>4</v>
      </c>
      <c r="B11" s="76" t="s">
        <v>54</v>
      </c>
      <c r="C11" s="51">
        <v>21</v>
      </c>
      <c r="D11" s="52">
        <v>494</v>
      </c>
      <c r="E11" s="53">
        <v>15.5</v>
      </c>
      <c r="F11" s="54">
        <f t="shared" si="0"/>
        <v>11.066666666666666</v>
      </c>
      <c r="G11" s="55">
        <f t="shared" si="1"/>
        <v>18.817813765182184</v>
      </c>
      <c r="H11" s="56">
        <v>234</v>
      </c>
      <c r="I11" s="57">
        <f t="shared" si="2"/>
        <v>11.142857142857142</v>
      </c>
      <c r="J11" s="58">
        <v>475</v>
      </c>
      <c r="K11" s="59">
        <f t="shared" si="3"/>
        <v>0.49263157894736842</v>
      </c>
      <c r="L11" s="60">
        <v>81</v>
      </c>
      <c r="M11" s="61">
        <v>174</v>
      </c>
      <c r="N11" s="59">
        <f t="shared" si="4"/>
        <v>0.46551724137931033</v>
      </c>
      <c r="O11" s="60">
        <v>59</v>
      </c>
      <c r="P11" s="60">
        <v>44</v>
      </c>
      <c r="Q11" s="62">
        <v>0.746</v>
      </c>
      <c r="R11" s="63">
        <f t="shared" si="5"/>
        <v>0.33908045977011492</v>
      </c>
      <c r="S11" s="64">
        <f t="shared" si="6"/>
        <v>25.96</v>
      </c>
      <c r="T11" s="51">
        <v>28</v>
      </c>
      <c r="U11" s="61">
        <v>68</v>
      </c>
      <c r="V11" s="59">
        <f t="shared" si="7"/>
        <v>0.41176470588235292</v>
      </c>
      <c r="W11" s="56">
        <v>48</v>
      </c>
      <c r="X11" s="58">
        <v>14</v>
      </c>
      <c r="Y11" s="65">
        <f t="shared" si="8"/>
        <v>5.0202429149797565</v>
      </c>
      <c r="Z11" s="56">
        <f t="shared" si="9"/>
        <v>235.96</v>
      </c>
      <c r="AA11" s="66">
        <f t="shared" si="10"/>
        <v>11.236190476190476</v>
      </c>
      <c r="AB11" s="67">
        <f t="shared" si="11"/>
        <v>0.9916935073741312</v>
      </c>
      <c r="AC11" s="68">
        <f t="shared" si="12"/>
        <v>0.58511702340468086</v>
      </c>
      <c r="AD11" s="69">
        <f t="shared" si="13"/>
        <v>0.54597701149425293</v>
      </c>
      <c r="AE11" s="70">
        <v>60</v>
      </c>
      <c r="AF11" s="71">
        <v>1</v>
      </c>
      <c r="AG11" s="72">
        <v>47</v>
      </c>
      <c r="AH11" s="51">
        <v>117</v>
      </c>
      <c r="AI11" s="61">
        <v>36</v>
      </c>
      <c r="AJ11" s="73">
        <f t="shared" si="14"/>
        <v>3.25</v>
      </c>
      <c r="AO11" s="77"/>
    </row>
    <row r="12" spans="1:41" s="23" customFormat="1" ht="24" customHeight="1">
      <c r="A12" s="74">
        <v>5</v>
      </c>
      <c r="B12" s="78" t="s">
        <v>55</v>
      </c>
      <c r="C12" s="26">
        <v>20</v>
      </c>
      <c r="D12" s="27">
        <v>682</v>
      </c>
      <c r="E12" s="28">
        <v>20.8</v>
      </c>
      <c r="F12" s="29">
        <f t="shared" si="0"/>
        <v>15.4</v>
      </c>
      <c r="G12" s="30">
        <f t="shared" si="1"/>
        <v>18.064516129032256</v>
      </c>
      <c r="H12" s="31">
        <v>374</v>
      </c>
      <c r="I12" s="32">
        <f t="shared" si="2"/>
        <v>18.7</v>
      </c>
      <c r="J12" s="33">
        <v>724</v>
      </c>
      <c r="K12" s="34">
        <f t="shared" si="3"/>
        <v>0.51657458563535907</v>
      </c>
      <c r="L12" s="35">
        <v>146</v>
      </c>
      <c r="M12" s="36">
        <v>284</v>
      </c>
      <c r="N12" s="34">
        <f t="shared" si="4"/>
        <v>0.5140845070422535</v>
      </c>
      <c r="O12" s="35">
        <v>68</v>
      </c>
      <c r="P12" s="35">
        <v>50</v>
      </c>
      <c r="Q12" s="37">
        <v>0.81399999999999995</v>
      </c>
      <c r="R12" s="38">
        <f t="shared" si="5"/>
        <v>0.23943661971830985</v>
      </c>
      <c r="S12" s="39">
        <f t="shared" si="6"/>
        <v>29.92</v>
      </c>
      <c r="T12" s="26">
        <v>32</v>
      </c>
      <c r="U12" s="36">
        <v>88</v>
      </c>
      <c r="V12" s="34">
        <f t="shared" si="7"/>
        <v>0.36363636363636365</v>
      </c>
      <c r="W12" s="31">
        <v>91</v>
      </c>
      <c r="X12" s="33">
        <v>16</v>
      </c>
      <c r="Y12" s="40">
        <f t="shared" si="8"/>
        <v>6.2756598240469206</v>
      </c>
      <c r="Z12" s="31">
        <f t="shared" si="9"/>
        <v>356.92</v>
      </c>
      <c r="AA12" s="41">
        <f t="shared" si="10"/>
        <v>17.846</v>
      </c>
      <c r="AB12" s="42">
        <f t="shared" si="11"/>
        <v>1.0478538608091448</v>
      </c>
      <c r="AC12" s="43">
        <f t="shared" si="12"/>
        <v>0.59569317023445456</v>
      </c>
      <c r="AD12" s="44">
        <f t="shared" si="13"/>
        <v>0.57042253521126762</v>
      </c>
      <c r="AE12" s="45">
        <v>56</v>
      </c>
      <c r="AF12" s="46">
        <v>4</v>
      </c>
      <c r="AG12" s="47">
        <v>28</v>
      </c>
      <c r="AH12" s="26">
        <v>111</v>
      </c>
      <c r="AI12" s="36">
        <v>43</v>
      </c>
      <c r="AJ12" s="48">
        <f t="shared" si="14"/>
        <v>2.5813953488372094</v>
      </c>
    </row>
    <row r="13" spans="1:41" s="23" customFormat="1" ht="24" customHeight="1">
      <c r="A13" s="49">
        <v>6</v>
      </c>
      <c r="B13" s="76" t="s">
        <v>56</v>
      </c>
      <c r="C13" s="51">
        <v>14</v>
      </c>
      <c r="D13" s="52">
        <v>435</v>
      </c>
      <c r="E13" s="53">
        <v>18.8</v>
      </c>
      <c r="F13" s="54">
        <f t="shared" si="0"/>
        <v>12.335714285714285</v>
      </c>
      <c r="G13" s="55">
        <f t="shared" si="1"/>
        <v>15.880459770114943</v>
      </c>
      <c r="H13" s="56">
        <v>224</v>
      </c>
      <c r="I13" s="57">
        <f t="shared" si="2"/>
        <v>16</v>
      </c>
      <c r="J13" s="58">
        <v>475</v>
      </c>
      <c r="K13" s="59">
        <f t="shared" si="3"/>
        <v>0.47157894736842104</v>
      </c>
      <c r="L13" s="60">
        <v>68</v>
      </c>
      <c r="M13" s="61">
        <v>163</v>
      </c>
      <c r="N13" s="59">
        <f t="shared" si="4"/>
        <v>0.41717791411042943</v>
      </c>
      <c r="O13" s="60">
        <v>62</v>
      </c>
      <c r="P13" s="60">
        <v>49</v>
      </c>
      <c r="Q13" s="62">
        <v>0.81399999999999995</v>
      </c>
      <c r="R13" s="63">
        <f t="shared" si="5"/>
        <v>0.38036809815950923</v>
      </c>
      <c r="S13" s="64">
        <f t="shared" si="6"/>
        <v>27.28</v>
      </c>
      <c r="T13" s="51">
        <v>33</v>
      </c>
      <c r="U13" s="61">
        <v>87</v>
      </c>
      <c r="V13" s="59">
        <f t="shared" si="7"/>
        <v>0.37931034482758619</v>
      </c>
      <c r="W13" s="56">
        <v>49</v>
      </c>
      <c r="X13" s="58">
        <v>7</v>
      </c>
      <c r="Y13" s="65">
        <f t="shared" si="8"/>
        <v>5.1494252873563218</v>
      </c>
      <c r="Z13" s="56">
        <f t="shared" si="9"/>
        <v>231.28</v>
      </c>
      <c r="AA13" s="66">
        <f t="shared" si="10"/>
        <v>16.52</v>
      </c>
      <c r="AB13" s="67">
        <f t="shared" si="11"/>
        <v>0.96852300242130751</v>
      </c>
      <c r="AC13" s="68">
        <f t="shared" si="12"/>
        <v>0.58860626445238595</v>
      </c>
      <c r="AD13" s="69">
        <f t="shared" si="13"/>
        <v>0.51840490797546013</v>
      </c>
      <c r="AE13" s="70">
        <v>27</v>
      </c>
      <c r="AF13" s="71">
        <v>0</v>
      </c>
      <c r="AG13" s="72">
        <v>17</v>
      </c>
      <c r="AH13" s="51">
        <v>80</v>
      </c>
      <c r="AI13" s="61">
        <v>41</v>
      </c>
      <c r="AJ13" s="73">
        <f t="shared" si="14"/>
        <v>1.9512195121951219</v>
      </c>
    </row>
    <row r="14" spans="1:41" s="23" customFormat="1" ht="24" customHeight="1">
      <c r="A14" s="74">
        <v>7</v>
      </c>
      <c r="B14" s="78" t="s">
        <v>57</v>
      </c>
      <c r="C14" s="26">
        <v>11</v>
      </c>
      <c r="D14" s="27">
        <v>339</v>
      </c>
      <c r="E14" s="28">
        <v>16.399999999999999</v>
      </c>
      <c r="F14" s="29">
        <f t="shared" si="0"/>
        <v>11.636363636363633</v>
      </c>
      <c r="G14" s="30">
        <f t="shared" si="1"/>
        <v>15.103244837758108</v>
      </c>
      <c r="H14" s="31">
        <v>173</v>
      </c>
      <c r="I14" s="32">
        <f t="shared" si="2"/>
        <v>15.727272727272727</v>
      </c>
      <c r="J14" s="33">
        <v>408</v>
      </c>
      <c r="K14" s="34">
        <f t="shared" si="3"/>
        <v>0.42401960784313725</v>
      </c>
      <c r="L14" s="35">
        <v>58</v>
      </c>
      <c r="M14" s="36">
        <v>148</v>
      </c>
      <c r="N14" s="34">
        <f t="shared" si="4"/>
        <v>0.39189189189189189</v>
      </c>
      <c r="O14" s="35">
        <v>40</v>
      </c>
      <c r="P14" s="35">
        <v>33</v>
      </c>
      <c r="Q14" s="37">
        <v>0.81399999999999995</v>
      </c>
      <c r="R14" s="38">
        <f t="shared" si="5"/>
        <v>0.27027027027027029</v>
      </c>
      <c r="S14" s="39">
        <f t="shared" si="6"/>
        <v>17.600000000000001</v>
      </c>
      <c r="T14" s="26">
        <v>24</v>
      </c>
      <c r="U14" s="36">
        <v>72</v>
      </c>
      <c r="V14" s="34">
        <f t="shared" si="7"/>
        <v>0.33333333333333331</v>
      </c>
      <c r="W14" s="31">
        <v>48</v>
      </c>
      <c r="X14" s="33">
        <v>7</v>
      </c>
      <c r="Y14" s="40">
        <f t="shared" si="8"/>
        <v>6.4896755162241888</v>
      </c>
      <c r="Z14" s="31">
        <f t="shared" si="9"/>
        <v>190.6</v>
      </c>
      <c r="AA14" s="41">
        <f t="shared" si="10"/>
        <v>17.327272727272728</v>
      </c>
      <c r="AB14" s="42">
        <f t="shared" si="11"/>
        <v>0.9076600209863589</v>
      </c>
      <c r="AC14" s="43">
        <f t="shared" si="12"/>
        <v>0.52234299516908211</v>
      </c>
      <c r="AD14" s="44">
        <f t="shared" si="13"/>
        <v>0.47297297297297297</v>
      </c>
      <c r="AE14" s="45">
        <v>20</v>
      </c>
      <c r="AF14" s="46">
        <v>3</v>
      </c>
      <c r="AG14" s="47">
        <v>19</v>
      </c>
      <c r="AH14" s="26">
        <v>44</v>
      </c>
      <c r="AI14" s="36">
        <v>25</v>
      </c>
      <c r="AJ14" s="48">
        <f t="shared" si="14"/>
        <v>1.76</v>
      </c>
    </row>
    <row r="15" spans="1:41" s="23" customFormat="1" ht="24" customHeight="1">
      <c r="A15" s="49">
        <v>8</v>
      </c>
      <c r="B15" s="50" t="s">
        <v>58</v>
      </c>
      <c r="C15" s="51">
        <v>22</v>
      </c>
      <c r="D15" s="52">
        <v>595</v>
      </c>
      <c r="E15" s="53">
        <v>12.8</v>
      </c>
      <c r="F15" s="54">
        <f t="shared" si="0"/>
        <v>10.009090909090911</v>
      </c>
      <c r="G15" s="55">
        <f t="shared" si="1"/>
        <v>14.803361344537819</v>
      </c>
      <c r="H15" s="56">
        <v>332</v>
      </c>
      <c r="I15" s="57">
        <f t="shared" si="2"/>
        <v>15.090909090909092</v>
      </c>
      <c r="J15" s="58">
        <f>434+(U15*3)+O15</f>
        <v>745</v>
      </c>
      <c r="K15" s="59">
        <f t="shared" si="3"/>
        <v>0.44563758389261743</v>
      </c>
      <c r="L15" s="60">
        <v>125</v>
      </c>
      <c r="M15" s="61">
        <v>291</v>
      </c>
      <c r="N15" s="59">
        <f t="shared" si="4"/>
        <v>0.42955326460481097</v>
      </c>
      <c r="O15" s="60">
        <v>89</v>
      </c>
      <c r="P15" s="60">
        <v>61</v>
      </c>
      <c r="Q15" s="62">
        <f>61/89</f>
        <v>0.6853932584269663</v>
      </c>
      <c r="R15" s="63">
        <f t="shared" si="5"/>
        <v>0.30584192439862545</v>
      </c>
      <c r="S15" s="64">
        <f t="shared" si="6"/>
        <v>39.160000000000004</v>
      </c>
      <c r="T15" s="51">
        <v>21</v>
      </c>
      <c r="U15" s="61">
        <v>74</v>
      </c>
      <c r="V15" s="59">
        <f t="shared" si="7"/>
        <v>0.28378378378378377</v>
      </c>
      <c r="W15" s="56">
        <v>40</v>
      </c>
      <c r="X15" s="58">
        <v>33</v>
      </c>
      <c r="Y15" s="65">
        <f t="shared" si="8"/>
        <v>4.9075630252100835</v>
      </c>
      <c r="Z15" s="56">
        <f t="shared" si="9"/>
        <v>394.16</v>
      </c>
      <c r="AA15" s="66">
        <f t="shared" si="10"/>
        <v>17.916363636363638</v>
      </c>
      <c r="AB15" s="67">
        <f t="shared" si="11"/>
        <v>0.84229754414450975</v>
      </c>
      <c r="AC15" s="68">
        <f t="shared" si="12"/>
        <v>0.50278652774412402</v>
      </c>
      <c r="AD15" s="69">
        <f t="shared" si="13"/>
        <v>0.46563573883161513</v>
      </c>
      <c r="AE15" s="70">
        <v>35</v>
      </c>
      <c r="AF15" s="71">
        <v>1</v>
      </c>
      <c r="AG15" s="72">
        <v>54</v>
      </c>
      <c r="AH15" s="51">
        <v>59</v>
      </c>
      <c r="AI15" s="61">
        <v>64</v>
      </c>
      <c r="AJ15" s="73">
        <f t="shared" si="14"/>
        <v>0.921875</v>
      </c>
    </row>
    <row r="16" spans="1:41" s="23" customFormat="1" ht="24" customHeight="1">
      <c r="A16" s="74">
        <v>9</v>
      </c>
      <c r="B16" s="78" t="s">
        <v>59</v>
      </c>
      <c r="C16" s="26">
        <v>32</v>
      </c>
      <c r="D16" s="27">
        <f>618+338</f>
        <v>956</v>
      </c>
      <c r="E16" s="28">
        <v>15.8</v>
      </c>
      <c r="F16" s="29">
        <f t="shared" si="0"/>
        <v>10.831250000000001</v>
      </c>
      <c r="G16" s="30">
        <f t="shared" si="1"/>
        <v>14.502092050209205</v>
      </c>
      <c r="H16" s="31">
        <v>477</v>
      </c>
      <c r="I16" s="32">
        <f t="shared" si="2"/>
        <v>14.90625</v>
      </c>
      <c r="J16" s="33">
        <v>1064</v>
      </c>
      <c r="K16" s="34">
        <f t="shared" si="3"/>
        <v>0.44830827067669171</v>
      </c>
      <c r="L16" s="35">
        <v>150</v>
      </c>
      <c r="M16" s="36">
        <v>360</v>
      </c>
      <c r="N16" s="34">
        <f t="shared" si="4"/>
        <v>0.41666666666666669</v>
      </c>
      <c r="O16" s="35">
        <v>122</v>
      </c>
      <c r="P16" s="35">
        <v>100</v>
      </c>
      <c r="Q16" s="37">
        <f>100/122</f>
        <v>0.81967213114754101</v>
      </c>
      <c r="R16" s="38">
        <f t="shared" si="5"/>
        <v>0.33888888888888891</v>
      </c>
      <c r="S16" s="39">
        <f t="shared" si="6"/>
        <v>53.68</v>
      </c>
      <c r="T16" s="26">
        <v>77</v>
      </c>
      <c r="U16" s="36">
        <v>222</v>
      </c>
      <c r="V16" s="34">
        <f t="shared" si="7"/>
        <v>0.34684684684684686</v>
      </c>
      <c r="W16" s="31">
        <v>107</v>
      </c>
      <c r="X16" s="33">
        <v>20</v>
      </c>
      <c r="Y16" s="40">
        <f t="shared" si="8"/>
        <v>5.3138075313807533</v>
      </c>
      <c r="Z16" s="31">
        <f t="shared" si="9"/>
        <v>504.68</v>
      </c>
      <c r="AA16" s="41">
        <f t="shared" si="10"/>
        <v>15.77125</v>
      </c>
      <c r="AB16" s="42">
        <f t="shared" si="11"/>
        <v>0.9451533645082032</v>
      </c>
      <c r="AC16" s="43">
        <f t="shared" si="12"/>
        <v>0.57653258557339004</v>
      </c>
      <c r="AD16" s="44">
        <f t="shared" si="13"/>
        <v>0.52361111111111114</v>
      </c>
      <c r="AE16" s="45">
        <v>34</v>
      </c>
      <c r="AF16" s="46">
        <v>3</v>
      </c>
      <c r="AG16" s="47">
        <v>26</v>
      </c>
      <c r="AH16" s="26">
        <v>144</v>
      </c>
      <c r="AI16" s="36">
        <v>91</v>
      </c>
      <c r="AJ16" s="48">
        <f t="shared" si="14"/>
        <v>1.5824175824175823</v>
      </c>
    </row>
    <row r="17" spans="1:36" s="23" customFormat="1" ht="24" customHeight="1">
      <c r="A17" s="49">
        <v>10</v>
      </c>
      <c r="B17" s="79" t="s">
        <v>60</v>
      </c>
      <c r="C17" s="51">
        <v>33</v>
      </c>
      <c r="D17" s="52">
        <v>895</v>
      </c>
      <c r="E17" s="53">
        <v>13.7</v>
      </c>
      <c r="F17" s="54">
        <f t="shared" si="0"/>
        <v>9.2878787878787872</v>
      </c>
      <c r="G17" s="55">
        <f t="shared" si="1"/>
        <v>13.698324022346368</v>
      </c>
      <c r="H17" s="56">
        <v>386</v>
      </c>
      <c r="I17" s="57">
        <f t="shared" si="2"/>
        <v>11.696969696969697</v>
      </c>
      <c r="J17" s="58">
        <v>901</v>
      </c>
      <c r="K17" s="59">
        <f t="shared" si="3"/>
        <v>0.42841287458379579</v>
      </c>
      <c r="L17" s="60">
        <v>124</v>
      </c>
      <c r="M17" s="61">
        <v>305</v>
      </c>
      <c r="N17" s="59">
        <f t="shared" si="4"/>
        <v>0.40655737704918032</v>
      </c>
      <c r="O17" s="60">
        <v>148</v>
      </c>
      <c r="P17" s="60">
        <v>106</v>
      </c>
      <c r="Q17" s="62">
        <f>106/148</f>
        <v>0.71621621621621623</v>
      </c>
      <c r="R17" s="63">
        <f t="shared" si="5"/>
        <v>0.48524590163934428</v>
      </c>
      <c r="S17" s="64">
        <f t="shared" si="6"/>
        <v>65.12</v>
      </c>
      <c r="T17" s="51">
        <v>32</v>
      </c>
      <c r="U17" s="61">
        <v>123</v>
      </c>
      <c r="V17" s="59">
        <f t="shared" si="7"/>
        <v>0.26016260162601629</v>
      </c>
      <c r="W17" s="56">
        <v>101</v>
      </c>
      <c r="X17" s="58">
        <v>29</v>
      </c>
      <c r="Y17" s="65">
        <f t="shared" si="8"/>
        <v>5.8100558659217878</v>
      </c>
      <c r="Z17" s="56">
        <f t="shared" si="9"/>
        <v>468.12</v>
      </c>
      <c r="AA17" s="66">
        <f t="shared" si="10"/>
        <v>14.185454545454546</v>
      </c>
      <c r="AB17" s="67">
        <f t="shared" si="11"/>
        <v>0.82457489532598482</v>
      </c>
      <c r="AC17" s="68">
        <f t="shared" si="12"/>
        <v>0.52145250189127845</v>
      </c>
      <c r="AD17" s="69">
        <f t="shared" si="13"/>
        <v>0.45901639344262296</v>
      </c>
      <c r="AE17" s="70">
        <v>84</v>
      </c>
      <c r="AF17" s="71">
        <v>6</v>
      </c>
      <c r="AG17" s="72">
        <v>59</v>
      </c>
      <c r="AH17" s="51">
        <v>170</v>
      </c>
      <c r="AI17" s="61">
        <v>98</v>
      </c>
      <c r="AJ17" s="73">
        <f t="shared" si="14"/>
        <v>1.7346938775510203</v>
      </c>
    </row>
    <row r="18" spans="1:36" s="23" customFormat="1" ht="24" customHeight="1">
      <c r="A18" s="74">
        <v>11</v>
      </c>
      <c r="B18" s="78" t="s">
        <v>61</v>
      </c>
      <c r="C18" s="26">
        <v>11</v>
      </c>
      <c r="D18" s="27">
        <v>314</v>
      </c>
      <c r="E18" s="28">
        <v>13</v>
      </c>
      <c r="F18" s="29">
        <f t="shared" si="0"/>
        <v>9.6454545454545482</v>
      </c>
      <c r="G18" s="30">
        <f t="shared" si="1"/>
        <v>13.515923566878984</v>
      </c>
      <c r="H18" s="31">
        <v>134</v>
      </c>
      <c r="I18" s="32">
        <f t="shared" si="2"/>
        <v>12.181818181818182</v>
      </c>
      <c r="J18" s="33">
        <f>110+(U18*3)+O18</f>
        <v>315</v>
      </c>
      <c r="K18" s="34">
        <f t="shared" si="3"/>
        <v>0.42539682539682538</v>
      </c>
      <c r="L18" s="35">
        <v>47</v>
      </c>
      <c r="M18" s="36">
        <v>116</v>
      </c>
      <c r="N18" s="34">
        <f t="shared" si="4"/>
        <v>0.40517241379310343</v>
      </c>
      <c r="O18" s="35">
        <v>22</v>
      </c>
      <c r="P18" s="35">
        <v>15</v>
      </c>
      <c r="Q18" s="37">
        <f>15/22</f>
        <v>0.68181818181818177</v>
      </c>
      <c r="R18" s="38">
        <f t="shared" si="5"/>
        <v>0.18965517241379309</v>
      </c>
      <c r="S18" s="39">
        <f t="shared" si="6"/>
        <v>9.68</v>
      </c>
      <c r="T18" s="26">
        <v>25</v>
      </c>
      <c r="U18" s="36">
        <v>61</v>
      </c>
      <c r="V18" s="34">
        <f t="shared" si="7"/>
        <v>0.4098360655737705</v>
      </c>
      <c r="W18" s="31">
        <v>35</v>
      </c>
      <c r="X18" s="33">
        <v>5</v>
      </c>
      <c r="Y18" s="40">
        <f t="shared" si="8"/>
        <v>5.0955414012738851</v>
      </c>
      <c r="Z18" s="31">
        <f t="shared" si="9"/>
        <v>147.68</v>
      </c>
      <c r="AA18" s="41">
        <f t="shared" si="10"/>
        <v>13.425454545454546</v>
      </c>
      <c r="AB18" s="42">
        <f t="shared" si="11"/>
        <v>0.90736728060671723</v>
      </c>
      <c r="AC18" s="43">
        <f t="shared" si="12"/>
        <v>0.53309993634627628</v>
      </c>
      <c r="AD18" s="44">
        <f t="shared" si="13"/>
        <v>0.51293103448275867</v>
      </c>
      <c r="AE18" s="45">
        <v>26</v>
      </c>
      <c r="AF18" s="46">
        <v>5</v>
      </c>
      <c r="AG18" s="47">
        <v>13</v>
      </c>
      <c r="AH18" s="26">
        <v>56</v>
      </c>
      <c r="AI18" s="36">
        <v>22</v>
      </c>
      <c r="AJ18" s="48">
        <f t="shared" si="14"/>
        <v>2.5454545454545454</v>
      </c>
    </row>
    <row r="19" spans="1:36" s="23" customFormat="1" ht="24" customHeight="1">
      <c r="A19" s="49">
        <v>12</v>
      </c>
      <c r="B19" s="50" t="s">
        <v>62</v>
      </c>
      <c r="C19" s="51">
        <v>18</v>
      </c>
      <c r="D19" s="52">
        <v>492</v>
      </c>
      <c r="E19" s="53">
        <v>13.1</v>
      </c>
      <c r="F19" s="54">
        <f t="shared" si="0"/>
        <v>9.0055555555555564</v>
      </c>
      <c r="G19" s="55">
        <f t="shared" si="1"/>
        <v>13.178861788617889</v>
      </c>
      <c r="H19" s="56">
        <v>198</v>
      </c>
      <c r="I19" s="57">
        <f t="shared" si="2"/>
        <v>11</v>
      </c>
      <c r="J19" s="58">
        <v>485</v>
      </c>
      <c r="K19" s="59">
        <f t="shared" si="3"/>
        <v>0.40824742268041236</v>
      </c>
      <c r="L19" s="60">
        <v>66</v>
      </c>
      <c r="M19" s="61">
        <v>171</v>
      </c>
      <c r="N19" s="59">
        <f t="shared" si="4"/>
        <v>0.38596491228070173</v>
      </c>
      <c r="O19" s="60">
        <v>66</v>
      </c>
      <c r="P19" s="60">
        <v>49</v>
      </c>
      <c r="Q19" s="62">
        <f>49/66</f>
        <v>0.74242424242424243</v>
      </c>
      <c r="R19" s="63">
        <f t="shared" si="5"/>
        <v>0.38596491228070173</v>
      </c>
      <c r="S19" s="64">
        <f t="shared" si="6"/>
        <v>29.04</v>
      </c>
      <c r="T19" s="51">
        <v>17</v>
      </c>
      <c r="U19" s="61">
        <v>77</v>
      </c>
      <c r="V19" s="59">
        <f t="shared" si="7"/>
        <v>0.22077922077922077</v>
      </c>
      <c r="W19" s="56">
        <v>54</v>
      </c>
      <c r="X19" s="58">
        <v>13</v>
      </c>
      <c r="Y19" s="65">
        <f t="shared" si="8"/>
        <v>5.4471544715447155</v>
      </c>
      <c r="Z19" s="56">
        <f t="shared" si="9"/>
        <v>256.03999999999996</v>
      </c>
      <c r="AA19" s="66">
        <f t="shared" si="10"/>
        <v>14.224444444444442</v>
      </c>
      <c r="AB19" s="67">
        <f t="shared" si="11"/>
        <v>0.77331666927042664</v>
      </c>
      <c r="AC19" s="68">
        <f t="shared" si="12"/>
        <v>0.49490101979604079</v>
      </c>
      <c r="AD19" s="69">
        <f t="shared" si="13"/>
        <v>0.43567251461988304</v>
      </c>
      <c r="AE19" s="70">
        <v>33</v>
      </c>
      <c r="AF19" s="71">
        <v>1</v>
      </c>
      <c r="AG19" s="72">
        <v>29</v>
      </c>
      <c r="AH19" s="51">
        <v>112</v>
      </c>
      <c r="AI19" s="61">
        <v>56</v>
      </c>
      <c r="AJ19" s="73">
        <f t="shared" si="14"/>
        <v>2</v>
      </c>
    </row>
    <row r="20" spans="1:36" s="23" customFormat="1" ht="24" customHeight="1">
      <c r="A20" s="80">
        <v>13</v>
      </c>
      <c r="B20" s="78" t="s">
        <v>63</v>
      </c>
      <c r="C20" s="26">
        <v>23</v>
      </c>
      <c r="D20" s="27">
        <v>748</v>
      </c>
      <c r="E20" s="28">
        <v>15.4</v>
      </c>
      <c r="F20" s="29">
        <f t="shared" si="0"/>
        <v>10.621739130434786</v>
      </c>
      <c r="G20" s="30">
        <f t="shared" si="1"/>
        <v>13.064171122994658</v>
      </c>
      <c r="H20" s="31">
        <v>236</v>
      </c>
      <c r="I20" s="32">
        <f t="shared" si="2"/>
        <v>10.260869565217391</v>
      </c>
      <c r="J20" s="33">
        <v>512</v>
      </c>
      <c r="K20" s="34">
        <f t="shared" si="3"/>
        <v>0.4609375</v>
      </c>
      <c r="L20" s="35">
        <v>77</v>
      </c>
      <c r="M20" s="36">
        <v>176</v>
      </c>
      <c r="N20" s="34">
        <f t="shared" si="4"/>
        <v>0.4375</v>
      </c>
      <c r="O20" s="35">
        <v>52</v>
      </c>
      <c r="P20" s="35">
        <v>44</v>
      </c>
      <c r="Q20" s="37">
        <f>44/52</f>
        <v>0.84615384615384615</v>
      </c>
      <c r="R20" s="38">
        <f t="shared" si="5"/>
        <v>0.29545454545454547</v>
      </c>
      <c r="S20" s="39">
        <f t="shared" si="6"/>
        <v>22.88</v>
      </c>
      <c r="T20" s="26">
        <v>38</v>
      </c>
      <c r="U20" s="36">
        <v>108</v>
      </c>
      <c r="V20" s="34">
        <f t="shared" si="7"/>
        <v>0.35185185185185186</v>
      </c>
      <c r="W20" s="31">
        <v>71</v>
      </c>
      <c r="X20" s="33">
        <v>15</v>
      </c>
      <c r="Y20" s="40">
        <f t="shared" si="8"/>
        <v>4.5989304812834222</v>
      </c>
      <c r="Z20" s="31">
        <f t="shared" si="9"/>
        <v>245.88</v>
      </c>
      <c r="AA20" s="41">
        <f t="shared" si="10"/>
        <v>10.690434782608696</v>
      </c>
      <c r="AB20" s="42">
        <f t="shared" si="11"/>
        <v>0.95981779729949568</v>
      </c>
      <c r="AC20" s="43">
        <f t="shared" si="12"/>
        <v>0.59332260659694291</v>
      </c>
      <c r="AD20" s="44">
        <f t="shared" si="13"/>
        <v>0.54545454545454541</v>
      </c>
      <c r="AE20" s="45">
        <v>66</v>
      </c>
      <c r="AF20" s="46">
        <v>3</v>
      </c>
      <c r="AG20" s="47">
        <v>44</v>
      </c>
      <c r="AH20" s="26">
        <v>142</v>
      </c>
      <c r="AI20" s="36">
        <v>47</v>
      </c>
      <c r="AJ20" s="48">
        <f t="shared" si="14"/>
        <v>3.021276595744681</v>
      </c>
    </row>
    <row r="21" spans="1:36" s="23" customFormat="1" ht="24" customHeight="1">
      <c r="A21" s="49">
        <v>14</v>
      </c>
      <c r="B21" s="76" t="s">
        <v>64</v>
      </c>
      <c r="C21" s="51">
        <v>32</v>
      </c>
      <c r="D21" s="52">
        <v>924</v>
      </c>
      <c r="E21" s="53">
        <v>11.6</v>
      </c>
      <c r="F21" s="54">
        <f t="shared" si="0"/>
        <v>8.9718750000000007</v>
      </c>
      <c r="G21" s="55">
        <f t="shared" si="1"/>
        <v>12.428571428571429</v>
      </c>
      <c r="H21" s="56">
        <v>419</v>
      </c>
      <c r="I21" s="57">
        <f t="shared" si="2"/>
        <v>13.09375</v>
      </c>
      <c r="J21" s="58">
        <f>252+(U21*3)+O21</f>
        <v>982</v>
      </c>
      <c r="K21" s="59">
        <f t="shared" si="3"/>
        <v>0.42668024439918534</v>
      </c>
      <c r="L21" s="60">
        <v>140</v>
      </c>
      <c r="M21" s="61">
        <v>340</v>
      </c>
      <c r="N21" s="59">
        <f t="shared" si="4"/>
        <v>0.41176470588235292</v>
      </c>
      <c r="O21" s="60">
        <v>88</v>
      </c>
      <c r="P21" s="60">
        <v>56</v>
      </c>
      <c r="Q21" s="62">
        <f>56/88</f>
        <v>0.63636363636363635</v>
      </c>
      <c r="R21" s="63">
        <f t="shared" si="5"/>
        <v>0.25882352941176473</v>
      </c>
      <c r="S21" s="64">
        <f t="shared" si="6"/>
        <v>38.72</v>
      </c>
      <c r="T21" s="51">
        <v>83</v>
      </c>
      <c r="U21" s="61">
        <v>214</v>
      </c>
      <c r="V21" s="59">
        <f t="shared" si="7"/>
        <v>0.38785046728971961</v>
      </c>
      <c r="W21" s="56">
        <v>53</v>
      </c>
      <c r="X21" s="58">
        <v>11</v>
      </c>
      <c r="Y21" s="65">
        <f t="shared" si="8"/>
        <v>2.7705627705627704</v>
      </c>
      <c r="Z21" s="56">
        <f t="shared" si="9"/>
        <v>438.72</v>
      </c>
      <c r="AA21" s="66">
        <f t="shared" si="10"/>
        <v>13.71</v>
      </c>
      <c r="AB21" s="67">
        <f t="shared" si="11"/>
        <v>0.95505105762217357</v>
      </c>
      <c r="AC21" s="68">
        <f t="shared" si="12"/>
        <v>0.55317912970004224</v>
      </c>
      <c r="AD21" s="69">
        <f t="shared" si="13"/>
        <v>0.5338235294117647</v>
      </c>
      <c r="AE21" s="70">
        <v>55</v>
      </c>
      <c r="AF21" s="71">
        <v>0</v>
      </c>
      <c r="AG21" s="72">
        <v>38</v>
      </c>
      <c r="AH21" s="51">
        <v>119</v>
      </c>
      <c r="AI21" s="61">
        <v>60</v>
      </c>
      <c r="AJ21" s="73">
        <f t="shared" si="14"/>
        <v>1.9833333333333334</v>
      </c>
    </row>
    <row r="22" spans="1:36" s="23" customFormat="1" ht="24" customHeight="1">
      <c r="A22" s="74">
        <v>15</v>
      </c>
      <c r="B22" s="78" t="s">
        <v>65</v>
      </c>
      <c r="C22" s="26">
        <v>18</v>
      </c>
      <c r="D22" s="27">
        <v>470</v>
      </c>
      <c r="E22" s="28">
        <v>10</v>
      </c>
      <c r="F22" s="29">
        <f t="shared" si="0"/>
        <v>8.1111111111111107</v>
      </c>
      <c r="G22" s="30">
        <f t="shared" si="1"/>
        <v>12.425531914893618</v>
      </c>
      <c r="H22" s="31">
        <v>180</v>
      </c>
      <c r="I22" s="32">
        <f t="shared" si="2"/>
        <v>10</v>
      </c>
      <c r="J22" s="33">
        <f>186+(U22*3)+O22</f>
        <v>329</v>
      </c>
      <c r="K22" s="34">
        <f t="shared" si="3"/>
        <v>0.54711246200607899</v>
      </c>
      <c r="L22" s="35">
        <v>76</v>
      </c>
      <c r="M22" s="36">
        <v>135</v>
      </c>
      <c r="N22" s="34">
        <f t="shared" si="4"/>
        <v>0.562962962962963</v>
      </c>
      <c r="O22" s="35">
        <v>17</v>
      </c>
      <c r="P22" s="35">
        <v>12</v>
      </c>
      <c r="Q22" s="37">
        <f>12/17</f>
        <v>0.70588235294117652</v>
      </c>
      <c r="R22" s="38">
        <f t="shared" si="5"/>
        <v>0.12592592592592591</v>
      </c>
      <c r="S22" s="39">
        <f t="shared" si="6"/>
        <v>7.48</v>
      </c>
      <c r="T22" s="26">
        <v>16</v>
      </c>
      <c r="U22" s="36">
        <v>42</v>
      </c>
      <c r="V22" s="34">
        <f t="shared" si="7"/>
        <v>0.38095238095238093</v>
      </c>
      <c r="W22" s="31">
        <v>31</v>
      </c>
      <c r="X22" s="33">
        <v>16</v>
      </c>
      <c r="Y22" s="40">
        <f t="shared" si="8"/>
        <v>4</v>
      </c>
      <c r="Z22" s="31">
        <f t="shared" si="9"/>
        <v>175.48</v>
      </c>
      <c r="AA22" s="41">
        <f t="shared" si="10"/>
        <v>9.7488888888888887</v>
      </c>
      <c r="AB22" s="42">
        <f t="shared" si="11"/>
        <v>1.0257579211306131</v>
      </c>
      <c r="AC22" s="43">
        <f t="shared" si="12"/>
        <v>0.63166760247052223</v>
      </c>
      <c r="AD22" s="44">
        <f t="shared" si="13"/>
        <v>0.62222222222222223</v>
      </c>
      <c r="AE22" s="45">
        <v>45</v>
      </c>
      <c r="AF22" s="46">
        <v>2</v>
      </c>
      <c r="AG22" s="47">
        <v>22</v>
      </c>
      <c r="AH22" s="26">
        <v>56</v>
      </c>
      <c r="AI22" s="36">
        <v>33</v>
      </c>
      <c r="AJ22" s="48">
        <f t="shared" si="14"/>
        <v>1.696969696969697</v>
      </c>
    </row>
    <row r="23" spans="1:36" s="23" customFormat="1" ht="24" customHeight="1">
      <c r="A23" s="49">
        <v>16</v>
      </c>
      <c r="B23" s="76" t="s">
        <v>66</v>
      </c>
      <c r="C23" s="51">
        <v>22</v>
      </c>
      <c r="D23" s="52">
        <v>667</v>
      </c>
      <c r="E23" s="53">
        <v>13.7</v>
      </c>
      <c r="F23" s="54">
        <f t="shared" si="0"/>
        <v>8.6363636363636349</v>
      </c>
      <c r="G23" s="55">
        <f t="shared" si="1"/>
        <v>11.394302848575711</v>
      </c>
      <c r="H23" s="56">
        <v>243</v>
      </c>
      <c r="I23" s="57">
        <f t="shared" si="2"/>
        <v>11.045454545454545</v>
      </c>
      <c r="J23" s="58">
        <v>549</v>
      </c>
      <c r="K23" s="59">
        <f t="shared" si="3"/>
        <v>0.44262295081967212</v>
      </c>
      <c r="L23" s="60">
        <v>85</v>
      </c>
      <c r="M23" s="61">
        <v>200</v>
      </c>
      <c r="N23" s="59">
        <f t="shared" si="4"/>
        <v>0.42499999999999999</v>
      </c>
      <c r="O23" s="60">
        <v>56</v>
      </c>
      <c r="P23" s="60">
        <v>43</v>
      </c>
      <c r="Q23" s="62">
        <f>43/56</f>
        <v>0.7678571428571429</v>
      </c>
      <c r="R23" s="63">
        <f t="shared" si="5"/>
        <v>0.28000000000000003</v>
      </c>
      <c r="S23" s="64">
        <f t="shared" si="6"/>
        <v>24.64</v>
      </c>
      <c r="T23" s="51">
        <v>30</v>
      </c>
      <c r="U23" s="61">
        <v>93</v>
      </c>
      <c r="V23" s="59">
        <f t="shared" si="7"/>
        <v>0.32258064516129031</v>
      </c>
      <c r="W23" s="56">
        <v>97</v>
      </c>
      <c r="X23" s="58">
        <v>19</v>
      </c>
      <c r="Y23" s="65">
        <f t="shared" si="8"/>
        <v>6.9565217391304346</v>
      </c>
      <c r="Z23" s="56">
        <f t="shared" si="9"/>
        <v>279.64</v>
      </c>
      <c r="AA23" s="66">
        <f t="shared" si="10"/>
        <v>12.710909090909091</v>
      </c>
      <c r="AB23" s="67">
        <f t="shared" si="11"/>
        <v>0.86897439565155199</v>
      </c>
      <c r="AC23" s="68">
        <f t="shared" si="12"/>
        <v>0.54086538461538469</v>
      </c>
      <c r="AD23" s="69">
        <f t="shared" si="13"/>
        <v>0.5</v>
      </c>
      <c r="AE23" s="70">
        <v>56</v>
      </c>
      <c r="AF23" s="71">
        <v>2</v>
      </c>
      <c r="AG23" s="72">
        <v>26</v>
      </c>
      <c r="AH23" s="51">
        <v>94</v>
      </c>
      <c r="AI23" s="61">
        <v>55</v>
      </c>
      <c r="AJ23" s="73">
        <f t="shared" si="14"/>
        <v>1.709090909090909</v>
      </c>
    </row>
    <row r="24" spans="1:36" s="23" customFormat="1" ht="24" customHeight="1">
      <c r="A24" s="74">
        <v>17</v>
      </c>
      <c r="B24" s="75" t="s">
        <v>67</v>
      </c>
      <c r="C24" s="26">
        <v>22</v>
      </c>
      <c r="D24" s="27">
        <v>637</v>
      </c>
      <c r="E24" s="28">
        <v>11.5</v>
      </c>
      <c r="F24" s="29">
        <f t="shared" si="0"/>
        <v>7.4409090909090887</v>
      </c>
      <c r="G24" s="30">
        <f t="shared" si="1"/>
        <v>10.279434850863421</v>
      </c>
      <c r="H24" s="31">
        <v>200</v>
      </c>
      <c r="I24" s="32">
        <f t="shared" si="2"/>
        <v>9.0909090909090917</v>
      </c>
      <c r="J24" s="33">
        <f>98+(U24*3)+O24</f>
        <v>405</v>
      </c>
      <c r="K24" s="34">
        <f t="shared" si="3"/>
        <v>0.49382716049382713</v>
      </c>
      <c r="L24" s="35">
        <v>58</v>
      </c>
      <c r="M24" s="36">
        <v>128</v>
      </c>
      <c r="N24" s="34">
        <f t="shared" si="4"/>
        <v>0.453125</v>
      </c>
      <c r="O24" s="35">
        <v>70</v>
      </c>
      <c r="P24" s="35">
        <v>50</v>
      </c>
      <c r="Q24" s="37">
        <f>50/70</f>
        <v>0.7142857142857143</v>
      </c>
      <c r="R24" s="38">
        <f t="shared" si="5"/>
        <v>0.546875</v>
      </c>
      <c r="S24" s="39">
        <f t="shared" si="6"/>
        <v>30.8</v>
      </c>
      <c r="T24" s="26">
        <v>34</v>
      </c>
      <c r="U24" s="36">
        <v>79</v>
      </c>
      <c r="V24" s="34">
        <f t="shared" si="7"/>
        <v>0.43037974683544306</v>
      </c>
      <c r="W24" s="31">
        <v>50</v>
      </c>
      <c r="X24" s="33">
        <v>18</v>
      </c>
      <c r="Y24" s="40">
        <f t="shared" si="8"/>
        <v>4.2700156985871276</v>
      </c>
      <c r="Z24" s="31">
        <f t="shared" si="9"/>
        <v>217.8</v>
      </c>
      <c r="AA24" s="41">
        <f t="shared" si="10"/>
        <v>9.9</v>
      </c>
      <c r="AB24" s="42">
        <f t="shared" si="11"/>
        <v>0.91827364554637281</v>
      </c>
      <c r="AC24" s="43">
        <f t="shared" si="12"/>
        <v>0.62972292191435764</v>
      </c>
      <c r="AD24" s="44">
        <f t="shared" si="13"/>
        <v>0.5859375</v>
      </c>
      <c r="AE24" s="45">
        <v>56</v>
      </c>
      <c r="AF24" s="46">
        <v>1</v>
      </c>
      <c r="AG24" s="47">
        <v>24</v>
      </c>
      <c r="AH24" s="26">
        <v>96</v>
      </c>
      <c r="AI24" s="36">
        <v>59</v>
      </c>
      <c r="AJ24" s="48">
        <f t="shared" si="14"/>
        <v>1.6271186440677967</v>
      </c>
    </row>
    <row r="25" spans="1:36" s="23" customFormat="1" ht="24" customHeight="1">
      <c r="A25" s="81">
        <v>18</v>
      </c>
      <c r="B25" s="76" t="s">
        <v>68</v>
      </c>
      <c r="C25" s="51">
        <v>16</v>
      </c>
      <c r="D25" s="52">
        <v>468</v>
      </c>
      <c r="E25" s="53">
        <v>11.1</v>
      </c>
      <c r="F25" s="54">
        <f t="shared" si="0"/>
        <v>7.4250000000000007</v>
      </c>
      <c r="G25" s="55">
        <f t="shared" si="1"/>
        <v>10.153846153846153</v>
      </c>
      <c r="H25" s="56">
        <v>182</v>
      </c>
      <c r="I25" s="57">
        <f t="shared" si="2"/>
        <v>11.375</v>
      </c>
      <c r="J25" s="58">
        <f>192+(U25*3)+O25</f>
        <v>451</v>
      </c>
      <c r="K25" s="59">
        <f t="shared" si="3"/>
        <v>0.40354767184035478</v>
      </c>
      <c r="L25" s="60">
        <v>65</v>
      </c>
      <c r="M25" s="61">
        <v>164</v>
      </c>
      <c r="N25" s="59">
        <f t="shared" si="4"/>
        <v>0.39634146341463417</v>
      </c>
      <c r="O25" s="60">
        <v>55</v>
      </c>
      <c r="P25" s="60">
        <v>35</v>
      </c>
      <c r="Q25" s="62">
        <f>35/55</f>
        <v>0.63636363636363635</v>
      </c>
      <c r="R25" s="63">
        <f t="shared" si="5"/>
        <v>0.33536585365853661</v>
      </c>
      <c r="S25" s="64">
        <f t="shared" si="6"/>
        <v>24.2</v>
      </c>
      <c r="T25" s="51">
        <v>17</v>
      </c>
      <c r="U25" s="61">
        <v>68</v>
      </c>
      <c r="V25" s="59">
        <f t="shared" si="7"/>
        <v>0.25</v>
      </c>
      <c r="W25" s="56">
        <v>26</v>
      </c>
      <c r="X25" s="58">
        <v>14</v>
      </c>
      <c r="Y25" s="65">
        <f t="shared" si="8"/>
        <v>3.4188034188034191</v>
      </c>
      <c r="Z25" s="56">
        <f t="shared" si="9"/>
        <v>259.2</v>
      </c>
      <c r="AA25" s="66">
        <f t="shared" si="10"/>
        <v>16.2</v>
      </c>
      <c r="AB25" s="67">
        <f t="shared" si="11"/>
        <v>0.7021604938271605</v>
      </c>
      <c r="AC25" s="68">
        <f t="shared" si="12"/>
        <v>0.48352816153028694</v>
      </c>
      <c r="AD25" s="69">
        <f t="shared" si="13"/>
        <v>0.44817073170731708</v>
      </c>
      <c r="AE25" s="70">
        <v>49</v>
      </c>
      <c r="AF25" s="71">
        <v>2</v>
      </c>
      <c r="AG25" s="72">
        <v>31</v>
      </c>
      <c r="AH25" s="51">
        <v>106</v>
      </c>
      <c r="AI25" s="61">
        <v>71</v>
      </c>
      <c r="AJ25" s="73">
        <f t="shared" si="14"/>
        <v>1.4929577464788732</v>
      </c>
    </row>
    <row r="26" spans="1:36" s="23" customFormat="1" ht="24" customHeight="1">
      <c r="A26" s="74">
        <v>19</v>
      </c>
      <c r="B26" s="78" t="s">
        <v>69</v>
      </c>
      <c r="C26" s="26">
        <v>18</v>
      </c>
      <c r="D26" s="27">
        <v>476</v>
      </c>
      <c r="E26" s="28">
        <v>8.9</v>
      </c>
      <c r="F26" s="29">
        <f t="shared" si="0"/>
        <v>5.6000000000000005</v>
      </c>
      <c r="G26" s="30">
        <f t="shared" si="1"/>
        <v>8.4705882352941195</v>
      </c>
      <c r="H26" s="31">
        <v>170</v>
      </c>
      <c r="I26" s="32">
        <f t="shared" si="2"/>
        <v>9.4444444444444446</v>
      </c>
      <c r="J26" s="33">
        <f>140+(U26*3)+O26</f>
        <v>418</v>
      </c>
      <c r="K26" s="34">
        <f t="shared" si="3"/>
        <v>0.40669856459330145</v>
      </c>
      <c r="L26" s="35">
        <v>55</v>
      </c>
      <c r="M26" s="36">
        <v>143</v>
      </c>
      <c r="N26" s="34">
        <f t="shared" si="4"/>
        <v>0.38461538461538464</v>
      </c>
      <c r="O26" s="35">
        <v>59</v>
      </c>
      <c r="P26" s="35">
        <v>44</v>
      </c>
      <c r="Q26" s="37">
        <f>44/59</f>
        <v>0.74576271186440679</v>
      </c>
      <c r="R26" s="38">
        <f t="shared" si="5"/>
        <v>0.41258741258741261</v>
      </c>
      <c r="S26" s="39">
        <f t="shared" si="6"/>
        <v>25.96</v>
      </c>
      <c r="T26" s="26">
        <v>16</v>
      </c>
      <c r="U26" s="36">
        <v>73</v>
      </c>
      <c r="V26" s="34">
        <f t="shared" si="7"/>
        <v>0.21917808219178081</v>
      </c>
      <c r="W26" s="31">
        <v>40</v>
      </c>
      <c r="X26" s="33">
        <v>7</v>
      </c>
      <c r="Y26" s="40">
        <f t="shared" si="8"/>
        <v>3.9495798319327728</v>
      </c>
      <c r="Z26" s="31">
        <f t="shared" si="9"/>
        <v>202.96</v>
      </c>
      <c r="AA26" s="41">
        <f t="shared" si="10"/>
        <v>11.275555555555556</v>
      </c>
      <c r="AB26" s="42">
        <f t="shared" si="11"/>
        <v>0.83760346866377611</v>
      </c>
      <c r="AC26" s="43">
        <f t="shared" si="12"/>
        <v>0.50307765151515149</v>
      </c>
      <c r="AD26" s="44">
        <f t="shared" si="13"/>
        <v>0.44055944055944057</v>
      </c>
      <c r="AE26" s="45">
        <v>28</v>
      </c>
      <c r="AF26" s="46">
        <v>1</v>
      </c>
      <c r="AG26" s="47">
        <v>18</v>
      </c>
      <c r="AH26" s="26">
        <v>35</v>
      </c>
      <c r="AI26" s="36">
        <v>34</v>
      </c>
      <c r="AJ26" s="48">
        <f t="shared" si="14"/>
        <v>1.0294117647058822</v>
      </c>
    </row>
    <row r="27" spans="1:36" s="23" customFormat="1" ht="24" customHeight="1">
      <c r="A27" s="82">
        <v>20</v>
      </c>
      <c r="B27" s="83" t="s">
        <v>70</v>
      </c>
      <c r="C27" s="84">
        <v>35</v>
      </c>
      <c r="D27" s="85">
        <v>643</v>
      </c>
      <c r="E27" s="86">
        <v>5.3</v>
      </c>
      <c r="F27" s="87">
        <f t="shared" si="0"/>
        <v>3.3371428571428576</v>
      </c>
      <c r="G27" s="88">
        <f t="shared" si="1"/>
        <v>7.2659409020217742</v>
      </c>
      <c r="H27" s="89">
        <v>155</v>
      </c>
      <c r="I27" s="90">
        <f t="shared" si="2"/>
        <v>4.4285714285714288</v>
      </c>
      <c r="J27" s="91">
        <f>154+(U27*3)+O27</f>
        <v>402</v>
      </c>
      <c r="K27" s="92">
        <f t="shared" si="3"/>
        <v>0.38557213930348261</v>
      </c>
      <c r="L27" s="93">
        <v>57</v>
      </c>
      <c r="M27" s="94">
        <v>131</v>
      </c>
      <c r="N27" s="92">
        <f t="shared" si="4"/>
        <v>0.4351145038167939</v>
      </c>
      <c r="O27" s="93">
        <v>23</v>
      </c>
      <c r="P27" s="93">
        <v>13</v>
      </c>
      <c r="Q27" s="95">
        <f>13/23</f>
        <v>0.56521739130434778</v>
      </c>
      <c r="R27" s="96">
        <f t="shared" si="5"/>
        <v>0.17557251908396945</v>
      </c>
      <c r="S27" s="97">
        <f t="shared" si="6"/>
        <v>10.119999999999999</v>
      </c>
      <c r="T27" s="84">
        <v>28</v>
      </c>
      <c r="U27" s="94">
        <v>75</v>
      </c>
      <c r="V27" s="92">
        <f t="shared" si="7"/>
        <v>0.37333333333333335</v>
      </c>
      <c r="W27" s="89">
        <v>68</v>
      </c>
      <c r="X27" s="91">
        <v>34</v>
      </c>
      <c r="Y27" s="98">
        <f t="shared" si="8"/>
        <v>6.3452566096423011</v>
      </c>
      <c r="Z27" s="89">
        <f t="shared" si="9"/>
        <v>192.12</v>
      </c>
      <c r="AA27" s="99">
        <f t="shared" si="10"/>
        <v>5.4891428571428573</v>
      </c>
      <c r="AB27" s="100">
        <f t="shared" si="11"/>
        <v>0.80678742452633767</v>
      </c>
      <c r="AC27" s="101">
        <f t="shared" si="12"/>
        <v>0.54917800453514742</v>
      </c>
      <c r="AD27" s="102">
        <f t="shared" si="13"/>
        <v>0.5419847328244275</v>
      </c>
      <c r="AE27" s="103">
        <v>85</v>
      </c>
      <c r="AF27" s="104">
        <v>1</v>
      </c>
      <c r="AG27" s="105">
        <v>30</v>
      </c>
      <c r="AH27" s="84">
        <v>64</v>
      </c>
      <c r="AI27" s="94">
        <v>51</v>
      </c>
      <c r="AJ27" s="106">
        <f t="shared" si="14"/>
        <v>1.2549019607843137</v>
      </c>
    </row>
    <row r="28" spans="1:36" s="107" customFormat="1" ht="21" customHeight="1">
      <c r="A28" s="171" t="s">
        <v>71</v>
      </c>
      <c r="B28" s="171"/>
      <c r="C28" s="171"/>
      <c r="D28" s="171"/>
      <c r="E28" s="171"/>
      <c r="F28" s="171"/>
      <c r="G28" s="171"/>
      <c r="H28" s="171"/>
      <c r="I28" s="171"/>
      <c r="J28" s="171"/>
      <c r="K28" s="171"/>
      <c r="L28" s="171"/>
      <c r="M28" s="171"/>
      <c r="N28" s="171"/>
      <c r="O28" s="171"/>
      <c r="P28" s="171"/>
      <c r="Q28" s="171"/>
      <c r="R28" s="171"/>
      <c r="S28" s="171"/>
      <c r="T28" s="171"/>
      <c r="U28" s="171"/>
      <c r="V28" s="171"/>
      <c r="W28" s="171"/>
      <c r="X28" s="171"/>
      <c r="Y28" s="171"/>
    </row>
    <row r="29" spans="1:36" s="107" customFormat="1" ht="21" customHeight="1">
      <c r="A29" s="171" t="s">
        <v>72</v>
      </c>
      <c r="B29" s="171"/>
      <c r="C29" s="171"/>
      <c r="D29" s="171"/>
      <c r="E29" s="171"/>
      <c r="F29" s="171"/>
      <c r="G29" s="171"/>
      <c r="H29" s="171"/>
      <c r="I29" s="171"/>
      <c r="J29" s="171"/>
      <c r="K29" s="171"/>
      <c r="L29" s="171"/>
      <c r="M29" s="171"/>
      <c r="N29" s="171"/>
      <c r="O29" s="171"/>
      <c r="P29" s="171"/>
      <c r="Q29" s="171"/>
      <c r="R29" s="171"/>
      <c r="S29" s="171"/>
      <c r="T29" s="171"/>
      <c r="U29" s="171"/>
      <c r="V29" s="171"/>
      <c r="W29" s="171"/>
      <c r="X29" s="171"/>
      <c r="Y29" s="171"/>
    </row>
  </sheetData>
  <mergeCells count="27">
    <mergeCell ref="A1:B4"/>
    <mergeCell ref="L6:N6"/>
    <mergeCell ref="C1:AD2"/>
    <mergeCell ref="AE1:AJ4"/>
    <mergeCell ref="W5:Y5"/>
    <mergeCell ref="AG5:AG7"/>
    <mergeCell ref="AH5:AJ5"/>
    <mergeCell ref="D5:D7"/>
    <mergeCell ref="C3:AD4"/>
    <mergeCell ref="AE5:AE7"/>
    <mergeCell ref="AH6:AJ6"/>
    <mergeCell ref="C5:C7"/>
    <mergeCell ref="Z5:AB5"/>
    <mergeCell ref="E6:G6"/>
    <mergeCell ref="A5:B7"/>
    <mergeCell ref="A29:Y29"/>
    <mergeCell ref="AF5:AF7"/>
    <mergeCell ref="H6:K6"/>
    <mergeCell ref="T5:V5"/>
    <mergeCell ref="E5:G5"/>
    <mergeCell ref="W6:Y6"/>
    <mergeCell ref="L5:N5"/>
    <mergeCell ref="T6:V6"/>
    <mergeCell ref="O6:S6"/>
    <mergeCell ref="H5:K5"/>
    <mergeCell ref="A28:Y28"/>
    <mergeCell ref="O5:S5"/>
  </mergeCells>
  <pageMargins left="0.25" right="0.25" top="0.75" bottom="0.75" header="0.3" footer="0.3"/>
  <pageSetup paperSize="3" fitToWidth="0" fitToHeight="0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J29"/>
  <sheetViews>
    <sheetView workbookViewId="0">
      <selection activeCell="V8" sqref="V8:V27"/>
    </sheetView>
  </sheetViews>
  <sheetFormatPr defaultColWidth="10" defaultRowHeight="15"/>
  <cols>
    <col min="1" max="1" width="3.7109375" customWidth="1"/>
    <col min="2" max="2" width="30.140625" customWidth="1"/>
    <col min="3" max="4" width="4.7109375" customWidth="1"/>
    <col min="5" max="5" width="6" style="1" customWidth="1"/>
    <col min="6" max="7" width="6.7109375" style="1" customWidth="1"/>
    <col min="8" max="8" width="4.28515625" style="1" customWidth="1"/>
    <col min="9" max="10" width="5.7109375" style="1" customWidth="1"/>
    <col min="11" max="11" width="6.7109375" style="1" customWidth="1"/>
    <col min="12" max="13" width="4.7109375" style="1" customWidth="1"/>
    <col min="14" max="14" width="6.42578125" style="1" customWidth="1"/>
    <col min="15" max="16" width="4.7109375" style="1" customWidth="1"/>
    <col min="17" max="17" width="6.28515625" style="1" customWidth="1"/>
    <col min="18" max="18" width="8.42578125" style="1" customWidth="1"/>
    <col min="19" max="19" width="5.28515625" style="1" customWidth="1"/>
    <col min="20" max="21" width="4.7109375" style="1" customWidth="1"/>
    <col min="22" max="22" width="6.42578125" style="1" customWidth="1"/>
    <col min="23" max="24" width="5" style="1" customWidth="1"/>
    <col min="25" max="25" width="7" style="1" customWidth="1"/>
    <col min="26" max="26" width="6" style="1" customWidth="1"/>
    <col min="27" max="27" width="6.7109375" style="1" customWidth="1"/>
    <col min="28" max="28" width="8.5703125" style="1" customWidth="1"/>
    <col min="29" max="29" width="15.7109375" style="1" customWidth="1"/>
    <col min="30" max="30" width="13.7109375" style="1" customWidth="1"/>
    <col min="31" max="33" width="4.140625" style="1" customWidth="1"/>
    <col min="34" max="35" width="5" style="1" customWidth="1"/>
    <col min="36" max="36" width="6.42578125" customWidth="1"/>
  </cols>
  <sheetData>
    <row r="1" spans="1:36" ht="22.5" customHeight="1">
      <c r="A1" s="187"/>
      <c r="B1" s="188"/>
      <c r="C1" s="196" t="s">
        <v>73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96"/>
      <c r="P1" s="196"/>
      <c r="Q1" s="196"/>
      <c r="R1" s="196"/>
      <c r="S1" s="196"/>
      <c r="T1" s="196"/>
      <c r="U1" s="196"/>
      <c r="V1" s="196"/>
      <c r="W1" s="196"/>
      <c r="X1" s="196"/>
      <c r="Y1" s="196"/>
      <c r="Z1" s="196"/>
      <c r="AA1" s="196"/>
      <c r="AB1" s="196"/>
      <c r="AC1" s="196"/>
      <c r="AD1" s="196"/>
      <c r="AE1" s="198"/>
      <c r="AF1" s="198"/>
      <c r="AG1" s="198"/>
      <c r="AH1" s="198"/>
      <c r="AI1" s="198"/>
      <c r="AJ1" s="199"/>
    </row>
    <row r="2" spans="1:36" ht="22.5" customHeight="1">
      <c r="A2" s="189"/>
      <c r="B2" s="190"/>
      <c r="C2" s="197"/>
      <c r="D2" s="197"/>
      <c r="E2" s="197"/>
      <c r="F2" s="197"/>
      <c r="G2" s="197"/>
      <c r="H2" s="197"/>
      <c r="I2" s="197"/>
      <c r="J2" s="197"/>
      <c r="K2" s="197"/>
      <c r="L2" s="197"/>
      <c r="M2" s="197"/>
      <c r="N2" s="197"/>
      <c r="O2" s="197"/>
      <c r="P2" s="197"/>
      <c r="Q2" s="197"/>
      <c r="R2" s="197"/>
      <c r="S2" s="197"/>
      <c r="T2" s="197"/>
      <c r="U2" s="197"/>
      <c r="V2" s="197"/>
      <c r="W2" s="197"/>
      <c r="X2" s="197"/>
      <c r="Y2" s="197"/>
      <c r="Z2" s="197"/>
      <c r="AA2" s="197"/>
      <c r="AB2" s="197"/>
      <c r="AC2" s="197"/>
      <c r="AD2" s="197"/>
      <c r="AE2" s="200"/>
      <c r="AF2" s="200"/>
      <c r="AG2" s="200"/>
      <c r="AH2" s="200"/>
      <c r="AI2" s="200"/>
      <c r="AJ2" s="201"/>
    </row>
    <row r="3" spans="1:36" ht="23.25" customHeight="1">
      <c r="A3" s="189"/>
      <c r="B3" s="190"/>
      <c r="C3" s="208" t="s">
        <v>74</v>
      </c>
      <c r="D3" s="208"/>
      <c r="E3" s="208"/>
      <c r="F3" s="208"/>
      <c r="G3" s="208"/>
      <c r="H3" s="208"/>
      <c r="I3" s="208"/>
      <c r="J3" s="208"/>
      <c r="K3" s="208"/>
      <c r="L3" s="208"/>
      <c r="M3" s="208"/>
      <c r="N3" s="208"/>
      <c r="O3" s="208"/>
      <c r="P3" s="208"/>
      <c r="Q3" s="208"/>
      <c r="R3" s="208"/>
      <c r="S3" s="208"/>
      <c r="T3" s="208"/>
      <c r="U3" s="208"/>
      <c r="V3" s="208"/>
      <c r="W3" s="208"/>
      <c r="X3" s="208"/>
      <c r="Y3" s="208"/>
      <c r="Z3" s="208"/>
      <c r="AA3" s="208"/>
      <c r="AB3" s="208"/>
      <c r="AC3" s="208"/>
      <c r="AD3" s="208"/>
      <c r="AE3" s="200"/>
      <c r="AF3" s="200"/>
      <c r="AG3" s="200"/>
      <c r="AH3" s="200"/>
      <c r="AI3" s="200"/>
      <c r="AJ3" s="201"/>
    </row>
    <row r="4" spans="1:36" ht="23.25" customHeight="1">
      <c r="A4" s="191"/>
      <c r="B4" s="192"/>
      <c r="C4" s="208"/>
      <c r="D4" s="208"/>
      <c r="E4" s="208"/>
      <c r="F4" s="208"/>
      <c r="G4" s="208"/>
      <c r="H4" s="208"/>
      <c r="I4" s="208"/>
      <c r="J4" s="208"/>
      <c r="K4" s="208"/>
      <c r="L4" s="208"/>
      <c r="M4" s="208"/>
      <c r="N4" s="208"/>
      <c r="O4" s="208"/>
      <c r="P4" s="208"/>
      <c r="Q4" s="208"/>
      <c r="R4" s="208"/>
      <c r="S4" s="208"/>
      <c r="T4" s="208"/>
      <c r="U4" s="208"/>
      <c r="V4" s="208"/>
      <c r="W4" s="208"/>
      <c r="X4" s="208"/>
      <c r="Y4" s="208"/>
      <c r="Z4" s="208"/>
      <c r="AA4" s="208"/>
      <c r="AB4" s="208"/>
      <c r="AC4" s="208"/>
      <c r="AD4" s="208"/>
      <c r="AE4" s="202"/>
      <c r="AF4" s="202"/>
      <c r="AG4" s="202"/>
      <c r="AH4" s="202"/>
      <c r="AI4" s="202"/>
      <c r="AJ4" s="203"/>
    </row>
    <row r="5" spans="1:36" ht="14.25" customHeight="1">
      <c r="A5" s="221" t="s">
        <v>2</v>
      </c>
      <c r="B5" s="222"/>
      <c r="C5" s="233" t="s">
        <v>3</v>
      </c>
      <c r="D5" s="232" t="s">
        <v>4</v>
      </c>
      <c r="E5" s="254" t="s">
        <v>5</v>
      </c>
      <c r="F5" s="253"/>
      <c r="G5" s="248"/>
      <c r="H5" s="230" t="s">
        <v>6</v>
      </c>
      <c r="I5" s="231"/>
      <c r="J5" s="231"/>
      <c r="K5" s="232"/>
      <c r="L5" s="253" t="s">
        <v>7</v>
      </c>
      <c r="M5" s="253"/>
      <c r="N5" s="248"/>
      <c r="O5" s="254" t="s">
        <v>8</v>
      </c>
      <c r="P5" s="253"/>
      <c r="Q5" s="253"/>
      <c r="R5" s="253"/>
      <c r="S5" s="248"/>
      <c r="T5" s="254" t="s">
        <v>9</v>
      </c>
      <c r="U5" s="253"/>
      <c r="V5" s="248"/>
      <c r="W5" s="254" t="s">
        <v>10</v>
      </c>
      <c r="X5" s="253"/>
      <c r="Y5" s="248"/>
      <c r="Z5" s="242" t="s">
        <v>11</v>
      </c>
      <c r="AA5" s="243"/>
      <c r="AB5" s="244"/>
      <c r="AC5" s="108" t="s">
        <v>12</v>
      </c>
      <c r="AD5" s="109" t="s">
        <v>13</v>
      </c>
      <c r="AE5" s="248" t="s">
        <v>14</v>
      </c>
      <c r="AF5" s="227" t="s">
        <v>15</v>
      </c>
      <c r="AG5" s="227" t="s">
        <v>16</v>
      </c>
      <c r="AH5" s="230" t="s">
        <v>17</v>
      </c>
      <c r="AI5" s="231"/>
      <c r="AJ5" s="232"/>
    </row>
    <row r="6" spans="1:36" ht="15" customHeight="1">
      <c r="A6" s="223"/>
      <c r="B6" s="224"/>
      <c r="C6" s="234"/>
      <c r="D6" s="251"/>
      <c r="E6" s="239" t="s">
        <v>18</v>
      </c>
      <c r="F6" s="240"/>
      <c r="G6" s="241"/>
      <c r="H6" s="239" t="s">
        <v>19</v>
      </c>
      <c r="I6" s="240"/>
      <c r="J6" s="240"/>
      <c r="K6" s="241"/>
      <c r="L6" s="236" t="s">
        <v>20</v>
      </c>
      <c r="M6" s="237"/>
      <c r="N6" s="238"/>
      <c r="O6" s="245" t="s">
        <v>21</v>
      </c>
      <c r="P6" s="246"/>
      <c r="Q6" s="246"/>
      <c r="R6" s="246"/>
      <c r="S6" s="247"/>
      <c r="T6" s="245" t="s">
        <v>22</v>
      </c>
      <c r="U6" s="246"/>
      <c r="V6" s="247"/>
      <c r="W6" s="245" t="s">
        <v>23</v>
      </c>
      <c r="X6" s="246"/>
      <c r="Y6" s="247"/>
      <c r="Z6" s="110" t="s">
        <v>24</v>
      </c>
      <c r="AA6" s="111" t="s">
        <v>25</v>
      </c>
      <c r="AB6" s="112" t="s">
        <v>26</v>
      </c>
      <c r="AC6" s="113" t="s">
        <v>27</v>
      </c>
      <c r="AD6" s="114" t="s">
        <v>28</v>
      </c>
      <c r="AE6" s="249"/>
      <c r="AF6" s="228"/>
      <c r="AG6" s="228"/>
      <c r="AH6" s="239" t="s">
        <v>29</v>
      </c>
      <c r="AI6" s="240"/>
      <c r="AJ6" s="241"/>
    </row>
    <row r="7" spans="1:36" ht="15" customHeight="1">
      <c r="A7" s="225"/>
      <c r="B7" s="226"/>
      <c r="C7" s="235"/>
      <c r="D7" s="252"/>
      <c r="E7" s="115" t="s">
        <v>30</v>
      </c>
      <c r="F7" s="116" t="s">
        <v>31</v>
      </c>
      <c r="G7" s="117" t="s">
        <v>32</v>
      </c>
      <c r="H7" s="115" t="s">
        <v>33</v>
      </c>
      <c r="I7" s="117" t="s">
        <v>34</v>
      </c>
      <c r="J7" s="116" t="s">
        <v>35</v>
      </c>
      <c r="K7" s="118" t="s">
        <v>36</v>
      </c>
      <c r="L7" s="119" t="s">
        <v>37</v>
      </c>
      <c r="M7" s="116" t="s">
        <v>35</v>
      </c>
      <c r="N7" s="120" t="s">
        <v>36</v>
      </c>
      <c r="O7" s="115" t="s">
        <v>35</v>
      </c>
      <c r="P7" s="119" t="s">
        <v>37</v>
      </c>
      <c r="Q7" s="116" t="s">
        <v>36</v>
      </c>
      <c r="R7" s="121" t="s">
        <v>38</v>
      </c>
      <c r="S7" s="122" t="s">
        <v>39</v>
      </c>
      <c r="T7" s="115" t="s">
        <v>37</v>
      </c>
      <c r="U7" s="116" t="s">
        <v>35</v>
      </c>
      <c r="V7" s="120" t="s">
        <v>36</v>
      </c>
      <c r="W7" s="123" t="s">
        <v>40</v>
      </c>
      <c r="X7" s="124" t="s">
        <v>41</v>
      </c>
      <c r="Y7" s="117" t="s">
        <v>42</v>
      </c>
      <c r="Z7" s="123" t="s">
        <v>43</v>
      </c>
      <c r="AA7" s="125" t="s">
        <v>44</v>
      </c>
      <c r="AB7" s="126" t="s">
        <v>45</v>
      </c>
      <c r="AC7" s="127" t="s">
        <v>46</v>
      </c>
      <c r="AD7" s="128" t="s">
        <v>47</v>
      </c>
      <c r="AE7" s="250"/>
      <c r="AF7" s="229"/>
      <c r="AG7" s="229"/>
      <c r="AH7" s="123" t="s">
        <v>48</v>
      </c>
      <c r="AI7" s="124" t="s">
        <v>49</v>
      </c>
      <c r="AJ7" s="118" t="s">
        <v>50</v>
      </c>
    </row>
    <row r="8" spans="1:36" s="23" customFormat="1" ht="24" customHeight="1">
      <c r="A8" s="24">
        <v>1</v>
      </c>
      <c r="B8" s="129" t="s">
        <v>75</v>
      </c>
      <c r="C8" s="26">
        <v>15</v>
      </c>
      <c r="D8" s="27">
        <v>479</v>
      </c>
      <c r="E8" s="28">
        <v>23.6</v>
      </c>
      <c r="F8" s="29">
        <f t="shared" ref="F8:F27" si="0">(H8+(0.4*L8)-(0.7*M8)-(0.4*(O8-P8))+(0.7*X8)+(0.3*W8)+AG8+(0.7*AH8)+(0.7*AF8)-(0.4*AE8)-AI8)/C8</f>
        <v>15.593333333333335</v>
      </c>
      <c r="G8" s="30">
        <f t="shared" ref="G8:G27" si="1">F8*40/(D8/C8)</f>
        <v>19.532359081419628</v>
      </c>
      <c r="H8" s="31">
        <v>354</v>
      </c>
      <c r="I8" s="32">
        <f t="shared" ref="I8:I27" si="2">H8/C8</f>
        <v>23.6</v>
      </c>
      <c r="J8" s="33">
        <f>360+(U8*3)+O8</f>
        <v>677</v>
      </c>
      <c r="K8" s="34">
        <f t="shared" ref="K8:K27" si="3">H8/J8</f>
        <v>0.52289512555391437</v>
      </c>
      <c r="L8" s="35">
        <v>116</v>
      </c>
      <c r="M8" s="36">
        <v>244</v>
      </c>
      <c r="N8" s="34">
        <f t="shared" ref="N8:N27" si="4">L8/M8</f>
        <v>0.47540983606557374</v>
      </c>
      <c r="O8" s="35">
        <v>125</v>
      </c>
      <c r="P8" s="35">
        <v>103</v>
      </c>
      <c r="Q8" s="37">
        <f>103/125</f>
        <v>0.82399999999999995</v>
      </c>
      <c r="R8" s="38">
        <f t="shared" ref="R8:R27" si="5">O8/M8</f>
        <v>0.51229508196721307</v>
      </c>
      <c r="S8" s="39">
        <f t="shared" ref="S8:S27" si="6">O8*0.44</f>
        <v>55</v>
      </c>
      <c r="T8" s="26">
        <v>19</v>
      </c>
      <c r="U8" s="36">
        <v>64</v>
      </c>
      <c r="V8" s="34">
        <f t="shared" ref="V8:V27" si="7">T8/U8</f>
        <v>0.296875</v>
      </c>
      <c r="W8" s="31">
        <v>58</v>
      </c>
      <c r="X8" s="33">
        <v>12</v>
      </c>
      <c r="Y8" s="40">
        <f t="shared" ref="Y8:Y27" si="8">((W8+X8)/D8)*40</f>
        <v>5.8455114822546967</v>
      </c>
      <c r="Z8" s="31">
        <f t="shared" ref="Z8:Z27" si="9">M8+S8+AI8</f>
        <v>346</v>
      </c>
      <c r="AA8" s="41">
        <f t="shared" ref="AA8:AA27" si="10">Z8/C8</f>
        <v>23.066666666666666</v>
      </c>
      <c r="AB8" s="42">
        <f t="shared" ref="AB8:AB27" si="11">H8/Z8</f>
        <v>1.023121387283237</v>
      </c>
      <c r="AC8" s="43">
        <f t="shared" ref="AC8:AC27" si="12">H8/(2*(S8+M8))</f>
        <v>0.59197324414715724</v>
      </c>
      <c r="AD8" s="44">
        <f t="shared" ref="AD8:AD27" si="13">((T8*0.5)+L8)/M8</f>
        <v>0.51434426229508201</v>
      </c>
      <c r="AE8" s="45">
        <v>23</v>
      </c>
      <c r="AF8" s="46">
        <v>2</v>
      </c>
      <c r="AG8" s="47">
        <v>19</v>
      </c>
      <c r="AH8" s="26">
        <v>33</v>
      </c>
      <c r="AI8" s="36">
        <v>47</v>
      </c>
      <c r="AJ8" s="48">
        <f t="shared" ref="AJ8:AJ27" si="14">AH8/AI8</f>
        <v>0.7021276595744681</v>
      </c>
    </row>
    <row r="9" spans="1:36" s="23" customFormat="1" ht="24" customHeight="1">
      <c r="A9" s="49">
        <v>2</v>
      </c>
      <c r="B9" s="130" t="s">
        <v>76</v>
      </c>
      <c r="C9" s="51">
        <v>23</v>
      </c>
      <c r="D9" s="52">
        <v>519</v>
      </c>
      <c r="E9" s="53">
        <v>14.8</v>
      </c>
      <c r="F9" s="54">
        <f t="shared" si="0"/>
        <v>10.621739130434783</v>
      </c>
      <c r="G9" s="55">
        <f t="shared" si="1"/>
        <v>18.828516377649326</v>
      </c>
      <c r="H9" s="56">
        <v>263</v>
      </c>
      <c r="I9" s="57">
        <f t="shared" si="2"/>
        <v>11.434782608695652</v>
      </c>
      <c r="J9" s="58">
        <f>238+(U9*3)+O9</f>
        <v>492</v>
      </c>
      <c r="K9" s="59">
        <f t="shared" si="3"/>
        <v>0.53455284552845528</v>
      </c>
      <c r="L9" s="60">
        <v>98</v>
      </c>
      <c r="M9" s="61">
        <v>184</v>
      </c>
      <c r="N9" s="59">
        <f t="shared" si="4"/>
        <v>0.53260869565217395</v>
      </c>
      <c r="O9" s="60">
        <v>59</v>
      </c>
      <c r="P9" s="60">
        <v>46</v>
      </c>
      <c r="Q9" s="62">
        <f>46/59</f>
        <v>0.77966101694915257</v>
      </c>
      <c r="R9" s="63">
        <f t="shared" si="5"/>
        <v>0.32065217391304346</v>
      </c>
      <c r="S9" s="64">
        <f t="shared" si="6"/>
        <v>25.96</v>
      </c>
      <c r="T9" s="51">
        <v>21</v>
      </c>
      <c r="U9" s="61">
        <v>65</v>
      </c>
      <c r="V9" s="59">
        <f t="shared" si="7"/>
        <v>0.32307692307692309</v>
      </c>
      <c r="W9" s="56">
        <v>72</v>
      </c>
      <c r="X9" s="58">
        <v>42</v>
      </c>
      <c r="Y9" s="65">
        <f t="shared" si="8"/>
        <v>8.7861271676300579</v>
      </c>
      <c r="Z9" s="56">
        <f t="shared" si="9"/>
        <v>240.96</v>
      </c>
      <c r="AA9" s="66">
        <f t="shared" si="10"/>
        <v>10.476521739130435</v>
      </c>
      <c r="AB9" s="67">
        <f t="shared" si="11"/>
        <v>1.0914674634794157</v>
      </c>
      <c r="AC9" s="68">
        <f t="shared" si="12"/>
        <v>0.62630977329015047</v>
      </c>
      <c r="AD9" s="69">
        <f t="shared" si="13"/>
        <v>0.58967391304347827</v>
      </c>
      <c r="AE9" s="70">
        <v>42</v>
      </c>
      <c r="AF9" s="71">
        <v>12</v>
      </c>
      <c r="AG9" s="72">
        <v>40</v>
      </c>
      <c r="AH9" s="51">
        <v>35</v>
      </c>
      <c r="AI9" s="61">
        <v>31</v>
      </c>
      <c r="AJ9" s="73">
        <f t="shared" si="14"/>
        <v>1.1290322580645162</v>
      </c>
    </row>
    <row r="10" spans="1:36" s="23" customFormat="1" ht="24" customHeight="1">
      <c r="A10" s="74">
        <v>3</v>
      </c>
      <c r="B10" s="129" t="s">
        <v>77</v>
      </c>
      <c r="C10" s="26">
        <v>26</v>
      </c>
      <c r="D10" s="27">
        <v>684</v>
      </c>
      <c r="E10" s="28">
        <v>15</v>
      </c>
      <c r="F10" s="29">
        <f t="shared" si="0"/>
        <v>12.149999999999995</v>
      </c>
      <c r="G10" s="30">
        <f t="shared" si="1"/>
        <v>18.473684210526308</v>
      </c>
      <c r="H10" s="31">
        <v>460</v>
      </c>
      <c r="I10" s="32">
        <f t="shared" si="2"/>
        <v>17.692307692307693</v>
      </c>
      <c r="J10" s="33">
        <f>284+(U10*3)+O10</f>
        <v>926</v>
      </c>
      <c r="K10" s="34">
        <f t="shared" si="3"/>
        <v>0.49676025917926564</v>
      </c>
      <c r="L10" s="35">
        <v>162</v>
      </c>
      <c r="M10" s="36">
        <v>333</v>
      </c>
      <c r="N10" s="34">
        <f t="shared" si="4"/>
        <v>0.48648648648648651</v>
      </c>
      <c r="O10" s="35">
        <v>69</v>
      </c>
      <c r="P10" s="35">
        <v>55</v>
      </c>
      <c r="Q10" s="37">
        <f>55/69</f>
        <v>0.79710144927536231</v>
      </c>
      <c r="R10" s="38">
        <f t="shared" si="5"/>
        <v>0.2072072072072072</v>
      </c>
      <c r="S10" s="39">
        <f t="shared" si="6"/>
        <v>30.36</v>
      </c>
      <c r="T10" s="26">
        <v>105</v>
      </c>
      <c r="U10" s="36">
        <v>191</v>
      </c>
      <c r="V10" s="34">
        <f t="shared" si="7"/>
        <v>0.54973821989528793</v>
      </c>
      <c r="W10" s="31">
        <v>39</v>
      </c>
      <c r="X10" s="33">
        <v>12</v>
      </c>
      <c r="Y10" s="40">
        <f t="shared" si="8"/>
        <v>2.9824561403508771</v>
      </c>
      <c r="Z10" s="31">
        <f t="shared" si="9"/>
        <v>390.36</v>
      </c>
      <c r="AA10" s="41">
        <f t="shared" si="10"/>
        <v>15.013846153846155</v>
      </c>
      <c r="AB10" s="42">
        <f t="shared" si="11"/>
        <v>1.1783994261707142</v>
      </c>
      <c r="AC10" s="43">
        <f t="shared" si="12"/>
        <v>0.63298106560986345</v>
      </c>
      <c r="AD10" s="44">
        <f t="shared" si="13"/>
        <v>0.64414414414414412</v>
      </c>
      <c r="AE10" s="45">
        <v>34</v>
      </c>
      <c r="AF10" s="46">
        <v>0</v>
      </c>
      <c r="AG10" s="47">
        <v>16</v>
      </c>
      <c r="AH10" s="26">
        <v>49</v>
      </c>
      <c r="AI10" s="36">
        <v>27</v>
      </c>
      <c r="AJ10" s="48">
        <f t="shared" si="14"/>
        <v>1.8148148148148149</v>
      </c>
    </row>
    <row r="11" spans="1:36" s="23" customFormat="1" ht="24" customHeight="1">
      <c r="A11" s="49">
        <v>4</v>
      </c>
      <c r="B11" s="130" t="s">
        <v>78</v>
      </c>
      <c r="C11" s="51">
        <v>24</v>
      </c>
      <c r="D11" s="52">
        <v>752</v>
      </c>
      <c r="E11" s="53">
        <v>23</v>
      </c>
      <c r="F11" s="54">
        <f t="shared" si="0"/>
        <v>14.0875</v>
      </c>
      <c r="G11" s="55">
        <f t="shared" si="1"/>
        <v>17.98404255319149</v>
      </c>
      <c r="H11" s="56">
        <v>403</v>
      </c>
      <c r="I11" s="57">
        <f t="shared" si="2"/>
        <v>16.791666666666668</v>
      </c>
      <c r="J11" s="58">
        <f>396+(U11*3)+O11</f>
        <v>926</v>
      </c>
      <c r="K11" s="59">
        <f t="shared" si="3"/>
        <v>0.43520518358531318</v>
      </c>
      <c r="L11" s="60">
        <v>142</v>
      </c>
      <c r="M11" s="61">
        <v>323</v>
      </c>
      <c r="N11" s="59">
        <f t="shared" si="4"/>
        <v>0.43962848297213625</v>
      </c>
      <c r="O11" s="60">
        <v>155</v>
      </c>
      <c r="P11" s="60">
        <v>88</v>
      </c>
      <c r="Q11" s="62">
        <f>88/155</f>
        <v>0.56774193548387097</v>
      </c>
      <c r="R11" s="63">
        <f t="shared" si="5"/>
        <v>0.47987616099071206</v>
      </c>
      <c r="S11" s="64">
        <f t="shared" si="6"/>
        <v>68.2</v>
      </c>
      <c r="T11" s="51">
        <v>31</v>
      </c>
      <c r="U11" s="61">
        <v>125</v>
      </c>
      <c r="V11" s="59">
        <f t="shared" si="7"/>
        <v>0.248</v>
      </c>
      <c r="W11" s="56">
        <v>164</v>
      </c>
      <c r="X11" s="58">
        <v>36</v>
      </c>
      <c r="Y11" s="65">
        <f t="shared" si="8"/>
        <v>10.638297872340425</v>
      </c>
      <c r="Z11" s="56">
        <f t="shared" si="9"/>
        <v>458.2</v>
      </c>
      <c r="AA11" s="66">
        <f t="shared" si="10"/>
        <v>19.091666666666665</v>
      </c>
      <c r="AB11" s="67">
        <f t="shared" si="11"/>
        <v>0.87952859013531215</v>
      </c>
      <c r="AC11" s="68">
        <f t="shared" si="12"/>
        <v>0.51508179959100209</v>
      </c>
      <c r="AD11" s="69">
        <f t="shared" si="13"/>
        <v>0.48761609907120745</v>
      </c>
      <c r="AE11" s="70">
        <v>43</v>
      </c>
      <c r="AF11" s="71">
        <v>30</v>
      </c>
      <c r="AG11" s="72">
        <v>71</v>
      </c>
      <c r="AH11" s="51">
        <v>70</v>
      </c>
      <c r="AI11" s="61">
        <v>67</v>
      </c>
      <c r="AJ11" s="73">
        <f t="shared" si="14"/>
        <v>1.044776119402985</v>
      </c>
    </row>
    <row r="12" spans="1:36" s="23" customFormat="1" ht="24" customHeight="1">
      <c r="A12" s="74">
        <v>5</v>
      </c>
      <c r="B12" s="129" t="s">
        <v>79</v>
      </c>
      <c r="C12" s="26">
        <v>20</v>
      </c>
      <c r="D12" s="27">
        <v>671</v>
      </c>
      <c r="E12" s="28">
        <v>16.899999999999999</v>
      </c>
      <c r="F12" s="29">
        <f t="shared" si="0"/>
        <v>14.8</v>
      </c>
      <c r="G12" s="30">
        <f t="shared" si="1"/>
        <v>17.645305514157975</v>
      </c>
      <c r="H12" s="31">
        <v>401</v>
      </c>
      <c r="I12" s="32">
        <f t="shared" si="2"/>
        <v>20.05</v>
      </c>
      <c r="J12" s="33">
        <f>412+(U12*3)+O12</f>
        <v>784</v>
      </c>
      <c r="K12" s="34">
        <f t="shared" si="3"/>
        <v>0.51147959183673475</v>
      </c>
      <c r="L12" s="35">
        <v>101</v>
      </c>
      <c r="M12" s="36">
        <v>206</v>
      </c>
      <c r="N12" s="34">
        <f t="shared" si="4"/>
        <v>0.49029126213592233</v>
      </c>
      <c r="O12" s="35">
        <v>147</v>
      </c>
      <c r="P12" s="35">
        <v>127</v>
      </c>
      <c r="Q12" s="37">
        <f>127/147</f>
        <v>0.86394557823129248</v>
      </c>
      <c r="R12" s="38">
        <f t="shared" si="5"/>
        <v>0.71359223300970875</v>
      </c>
      <c r="S12" s="39">
        <f t="shared" si="6"/>
        <v>64.680000000000007</v>
      </c>
      <c r="T12" s="26">
        <v>24</v>
      </c>
      <c r="U12" s="36">
        <v>75</v>
      </c>
      <c r="V12" s="34">
        <f t="shared" si="7"/>
        <v>0.32</v>
      </c>
      <c r="W12" s="31">
        <v>45</v>
      </c>
      <c r="X12" s="33">
        <v>14</v>
      </c>
      <c r="Y12" s="40">
        <f t="shared" si="8"/>
        <v>3.5171385991058122</v>
      </c>
      <c r="Z12" s="31">
        <f t="shared" si="9"/>
        <v>327.68</v>
      </c>
      <c r="AA12" s="41">
        <f t="shared" si="10"/>
        <v>16.384</v>
      </c>
      <c r="AB12" s="42">
        <f t="shared" si="11"/>
        <v>1.2237548828125</v>
      </c>
      <c r="AC12" s="43">
        <f t="shared" si="12"/>
        <v>0.74072705778040493</v>
      </c>
      <c r="AD12" s="44">
        <f t="shared" si="13"/>
        <v>0.54854368932038833</v>
      </c>
      <c r="AE12" s="45">
        <v>36</v>
      </c>
      <c r="AF12" s="46">
        <v>2</v>
      </c>
      <c r="AG12" s="47">
        <v>22</v>
      </c>
      <c r="AH12" s="26">
        <v>45</v>
      </c>
      <c r="AI12" s="36">
        <v>57</v>
      </c>
      <c r="AJ12" s="48">
        <f t="shared" si="14"/>
        <v>0.78947368421052633</v>
      </c>
    </row>
    <row r="13" spans="1:36" s="23" customFormat="1" ht="24" customHeight="1">
      <c r="A13" s="49">
        <v>6</v>
      </c>
      <c r="B13" s="130" t="s">
        <v>80</v>
      </c>
      <c r="C13" s="51">
        <v>23</v>
      </c>
      <c r="D13" s="52">
        <v>622</v>
      </c>
      <c r="E13" s="53">
        <v>16.2</v>
      </c>
      <c r="F13" s="54">
        <f t="shared" si="0"/>
        <v>11.752173913043476</v>
      </c>
      <c r="G13" s="55">
        <f t="shared" si="1"/>
        <v>17.382636655948549</v>
      </c>
      <c r="H13" s="56">
        <v>301</v>
      </c>
      <c r="I13" s="57">
        <f t="shared" si="2"/>
        <v>13.086956521739131</v>
      </c>
      <c r="J13" s="58">
        <f>166+(U13*3)+O13</f>
        <v>570</v>
      </c>
      <c r="K13" s="59">
        <f t="shared" si="3"/>
        <v>0.52807017543859647</v>
      </c>
      <c r="L13" s="60">
        <v>118</v>
      </c>
      <c r="M13" s="61">
        <v>244</v>
      </c>
      <c r="N13" s="59">
        <f t="shared" si="4"/>
        <v>0.48360655737704916</v>
      </c>
      <c r="O13" s="60">
        <v>47</v>
      </c>
      <c r="P13" s="60">
        <v>31</v>
      </c>
      <c r="Q13" s="62">
        <f>31/47</f>
        <v>0.65957446808510634</v>
      </c>
      <c r="R13" s="63">
        <f t="shared" si="5"/>
        <v>0.19262295081967212</v>
      </c>
      <c r="S13" s="64">
        <f t="shared" si="6"/>
        <v>20.68</v>
      </c>
      <c r="T13" s="51">
        <v>38</v>
      </c>
      <c r="U13" s="61">
        <v>119</v>
      </c>
      <c r="V13" s="59">
        <f t="shared" si="7"/>
        <v>0.31932773109243695</v>
      </c>
      <c r="W13" s="56">
        <v>88</v>
      </c>
      <c r="X13" s="58">
        <v>32</v>
      </c>
      <c r="Y13" s="65">
        <f t="shared" si="8"/>
        <v>7.7170418006430861</v>
      </c>
      <c r="Z13" s="56">
        <f t="shared" si="9"/>
        <v>282.68</v>
      </c>
      <c r="AA13" s="66">
        <f t="shared" si="10"/>
        <v>12.290434782608695</v>
      </c>
      <c r="AB13" s="67">
        <f t="shared" si="11"/>
        <v>1.0648082637611433</v>
      </c>
      <c r="AC13" s="68">
        <f t="shared" si="12"/>
        <v>0.56861115309052435</v>
      </c>
      <c r="AD13" s="69">
        <f t="shared" si="13"/>
        <v>0.56147540983606559</v>
      </c>
      <c r="AE13" s="70">
        <v>29</v>
      </c>
      <c r="AF13" s="71">
        <v>7</v>
      </c>
      <c r="AG13" s="72">
        <v>22</v>
      </c>
      <c r="AH13" s="51">
        <v>76</v>
      </c>
      <c r="AI13" s="61">
        <v>18</v>
      </c>
      <c r="AJ13" s="73">
        <f t="shared" si="14"/>
        <v>4.2222222222222223</v>
      </c>
    </row>
    <row r="14" spans="1:36" s="23" customFormat="1" ht="24" customHeight="1">
      <c r="A14" s="74">
        <v>7</v>
      </c>
      <c r="B14" s="129" t="s">
        <v>81</v>
      </c>
      <c r="C14" s="26">
        <v>28</v>
      </c>
      <c r="D14" s="27">
        <v>837</v>
      </c>
      <c r="E14" s="28">
        <v>14.8</v>
      </c>
      <c r="F14" s="29">
        <f t="shared" si="0"/>
        <v>12.060714285714285</v>
      </c>
      <c r="G14" s="30">
        <f t="shared" si="1"/>
        <v>16.138590203106332</v>
      </c>
      <c r="H14" s="31">
        <v>495</v>
      </c>
      <c r="I14" s="32">
        <f t="shared" si="2"/>
        <v>17.678571428571427</v>
      </c>
      <c r="J14" s="33">
        <f>304+(U14*3)+O14</f>
        <v>1034</v>
      </c>
      <c r="K14" s="34">
        <f t="shared" si="3"/>
        <v>0.47872340425531917</v>
      </c>
      <c r="L14" s="35">
        <v>170</v>
      </c>
      <c r="M14" s="36">
        <v>364</v>
      </c>
      <c r="N14" s="34">
        <f t="shared" si="4"/>
        <v>0.46703296703296704</v>
      </c>
      <c r="O14" s="35">
        <v>94</v>
      </c>
      <c r="P14" s="35">
        <v>75</v>
      </c>
      <c r="Q14" s="37">
        <f>75/94</f>
        <v>0.7978723404255319</v>
      </c>
      <c r="R14" s="38">
        <f t="shared" si="5"/>
        <v>0.25824175824175827</v>
      </c>
      <c r="S14" s="39">
        <f t="shared" si="6"/>
        <v>41.36</v>
      </c>
      <c r="T14" s="26">
        <v>80</v>
      </c>
      <c r="U14" s="36">
        <v>212</v>
      </c>
      <c r="V14" s="34">
        <f t="shared" si="7"/>
        <v>0.37735849056603776</v>
      </c>
      <c r="W14" s="31">
        <v>56</v>
      </c>
      <c r="X14" s="33">
        <v>21</v>
      </c>
      <c r="Y14" s="40">
        <f t="shared" si="8"/>
        <v>3.6798088410991636</v>
      </c>
      <c r="Z14" s="31">
        <f t="shared" si="9"/>
        <v>460.36</v>
      </c>
      <c r="AA14" s="41">
        <f t="shared" si="10"/>
        <v>16.44142857142857</v>
      </c>
      <c r="AB14" s="42">
        <f t="shared" si="11"/>
        <v>1.0752454600747241</v>
      </c>
      <c r="AC14" s="43">
        <f t="shared" si="12"/>
        <v>0.61056838365896982</v>
      </c>
      <c r="AD14" s="44">
        <f t="shared" si="13"/>
        <v>0.57692307692307687</v>
      </c>
      <c r="AE14" s="45">
        <v>39</v>
      </c>
      <c r="AF14" s="46">
        <v>1</v>
      </c>
      <c r="AG14" s="47">
        <v>37</v>
      </c>
      <c r="AH14" s="26">
        <v>55</v>
      </c>
      <c r="AI14" s="36">
        <v>55</v>
      </c>
      <c r="AJ14" s="48">
        <f t="shared" si="14"/>
        <v>1</v>
      </c>
    </row>
    <row r="15" spans="1:36" s="23" customFormat="1" ht="24" customHeight="1">
      <c r="A15" s="49">
        <v>8</v>
      </c>
      <c r="B15" s="130" t="s">
        <v>82</v>
      </c>
      <c r="C15" s="51">
        <v>16</v>
      </c>
      <c r="D15" s="52">
        <v>541</v>
      </c>
      <c r="E15" s="53">
        <v>19.600000000000001</v>
      </c>
      <c r="F15" s="54">
        <f t="shared" si="0"/>
        <v>13.231250000000003</v>
      </c>
      <c r="G15" s="55">
        <f t="shared" si="1"/>
        <v>15.652495378927915</v>
      </c>
      <c r="H15" s="56">
        <v>330</v>
      </c>
      <c r="I15" s="57">
        <f t="shared" si="2"/>
        <v>20.625</v>
      </c>
      <c r="J15" s="58">
        <f>242+(U15*3)+O15</f>
        <v>777</v>
      </c>
      <c r="K15" s="59">
        <f t="shared" si="3"/>
        <v>0.42471042471042469</v>
      </c>
      <c r="L15" s="60">
        <v>99</v>
      </c>
      <c r="M15" s="61">
        <v>266</v>
      </c>
      <c r="N15" s="59">
        <f t="shared" si="4"/>
        <v>0.37218045112781956</v>
      </c>
      <c r="O15" s="60">
        <v>100</v>
      </c>
      <c r="P15" s="60">
        <v>81</v>
      </c>
      <c r="Q15" s="62">
        <f>81/100</f>
        <v>0.81</v>
      </c>
      <c r="R15" s="63">
        <f t="shared" si="5"/>
        <v>0.37593984962406013</v>
      </c>
      <c r="S15" s="64">
        <f t="shared" si="6"/>
        <v>44</v>
      </c>
      <c r="T15" s="51">
        <v>51</v>
      </c>
      <c r="U15" s="61">
        <v>145</v>
      </c>
      <c r="V15" s="59">
        <f t="shared" si="7"/>
        <v>0.35172413793103446</v>
      </c>
      <c r="W15" s="56">
        <v>63</v>
      </c>
      <c r="X15" s="58">
        <v>13</v>
      </c>
      <c r="Y15" s="65">
        <f t="shared" si="8"/>
        <v>5.6192236598890943</v>
      </c>
      <c r="Z15" s="56">
        <f t="shared" si="9"/>
        <v>373</v>
      </c>
      <c r="AA15" s="66">
        <f t="shared" si="10"/>
        <v>23.3125</v>
      </c>
      <c r="AB15" s="67">
        <f t="shared" si="11"/>
        <v>0.88471849865951746</v>
      </c>
      <c r="AC15" s="68">
        <f t="shared" si="12"/>
        <v>0.532258064516129</v>
      </c>
      <c r="AD15" s="69">
        <f t="shared" si="13"/>
        <v>0.46804511278195488</v>
      </c>
      <c r="AE15" s="70">
        <v>32</v>
      </c>
      <c r="AF15" s="71">
        <v>4</v>
      </c>
      <c r="AG15" s="72">
        <v>27</v>
      </c>
      <c r="AH15" s="51">
        <v>77</v>
      </c>
      <c r="AI15" s="61">
        <v>63</v>
      </c>
      <c r="AJ15" s="73">
        <f t="shared" si="14"/>
        <v>1.2222222222222223</v>
      </c>
    </row>
    <row r="16" spans="1:36" s="23" customFormat="1" ht="24" customHeight="1">
      <c r="A16" s="74">
        <v>9</v>
      </c>
      <c r="B16" s="129" t="s">
        <v>83</v>
      </c>
      <c r="C16" s="26">
        <v>17</v>
      </c>
      <c r="D16" s="27">
        <v>476</v>
      </c>
      <c r="E16" s="28">
        <v>14.5</v>
      </c>
      <c r="F16" s="29">
        <f t="shared" si="0"/>
        <v>9.3764705882352946</v>
      </c>
      <c r="G16" s="30">
        <f t="shared" si="1"/>
        <v>13.394957983193278</v>
      </c>
      <c r="H16" s="31">
        <v>187</v>
      </c>
      <c r="I16" s="32">
        <f t="shared" si="2"/>
        <v>11</v>
      </c>
      <c r="J16" s="33">
        <f>166+(U16*3)+O16</f>
        <v>308</v>
      </c>
      <c r="K16" s="34">
        <f t="shared" si="3"/>
        <v>0.6071428571428571</v>
      </c>
      <c r="L16" s="35">
        <v>66</v>
      </c>
      <c r="M16" s="36">
        <v>110</v>
      </c>
      <c r="N16" s="34">
        <f t="shared" si="4"/>
        <v>0.6</v>
      </c>
      <c r="O16" s="35">
        <v>61</v>
      </c>
      <c r="P16" s="35">
        <v>46</v>
      </c>
      <c r="Q16" s="37">
        <f>46/61</f>
        <v>0.75409836065573765</v>
      </c>
      <c r="R16" s="38">
        <f t="shared" si="5"/>
        <v>0.55454545454545456</v>
      </c>
      <c r="S16" s="39">
        <f t="shared" si="6"/>
        <v>26.84</v>
      </c>
      <c r="T16" s="26">
        <v>9</v>
      </c>
      <c r="U16" s="36">
        <v>27</v>
      </c>
      <c r="V16" s="34">
        <f t="shared" si="7"/>
        <v>0.33333333333333331</v>
      </c>
      <c r="W16" s="31">
        <v>44</v>
      </c>
      <c r="X16" s="33">
        <v>4</v>
      </c>
      <c r="Y16" s="40">
        <f t="shared" si="8"/>
        <v>4.0336134453781511</v>
      </c>
      <c r="Z16" s="31">
        <f t="shared" si="9"/>
        <v>188.84</v>
      </c>
      <c r="AA16" s="41">
        <f t="shared" si="10"/>
        <v>11.108235294117648</v>
      </c>
      <c r="AB16" s="42">
        <f t="shared" si="11"/>
        <v>0.99025630163101042</v>
      </c>
      <c r="AC16" s="43">
        <f t="shared" si="12"/>
        <v>0.68327974276527326</v>
      </c>
      <c r="AD16" s="44">
        <f t="shared" si="13"/>
        <v>0.64090909090909087</v>
      </c>
      <c r="AE16" s="45">
        <v>34</v>
      </c>
      <c r="AF16" s="46">
        <v>2</v>
      </c>
      <c r="AG16" s="47">
        <v>17</v>
      </c>
      <c r="AH16" s="26">
        <v>86</v>
      </c>
      <c r="AI16" s="36">
        <v>52</v>
      </c>
      <c r="AJ16" s="48">
        <f t="shared" si="14"/>
        <v>1.6538461538461537</v>
      </c>
    </row>
    <row r="17" spans="1:36" s="23" customFormat="1" ht="24" customHeight="1">
      <c r="A17" s="49">
        <v>10</v>
      </c>
      <c r="B17" s="130" t="s">
        <v>84</v>
      </c>
      <c r="C17" s="51">
        <v>13</v>
      </c>
      <c r="D17" s="52">
        <v>384</v>
      </c>
      <c r="E17" s="53">
        <v>13.9</v>
      </c>
      <c r="F17" s="54">
        <f t="shared" si="0"/>
        <v>9.838461538461539</v>
      </c>
      <c r="G17" s="55">
        <f t="shared" si="1"/>
        <v>13.322916666666666</v>
      </c>
      <c r="H17" s="56">
        <v>183</v>
      </c>
      <c r="I17" s="57">
        <f t="shared" si="2"/>
        <v>14.076923076923077</v>
      </c>
      <c r="J17" s="58">
        <f>96+(U17*3)+O17</f>
        <v>407</v>
      </c>
      <c r="K17" s="59">
        <f t="shared" si="3"/>
        <v>0.44963144963144963</v>
      </c>
      <c r="L17" s="60">
        <v>60</v>
      </c>
      <c r="M17" s="61">
        <v>137</v>
      </c>
      <c r="N17" s="59">
        <f t="shared" si="4"/>
        <v>0.43795620437956206</v>
      </c>
      <c r="O17" s="60">
        <v>44</v>
      </c>
      <c r="P17" s="60">
        <v>28</v>
      </c>
      <c r="Q17" s="62">
        <f>28/44</f>
        <v>0.63636363636363635</v>
      </c>
      <c r="R17" s="63">
        <f t="shared" si="5"/>
        <v>0.32116788321167883</v>
      </c>
      <c r="S17" s="64">
        <f t="shared" si="6"/>
        <v>19.36</v>
      </c>
      <c r="T17" s="51">
        <v>35</v>
      </c>
      <c r="U17" s="61">
        <v>89</v>
      </c>
      <c r="V17" s="59">
        <f t="shared" si="7"/>
        <v>0.39325842696629215</v>
      </c>
      <c r="W17" s="56">
        <v>39</v>
      </c>
      <c r="X17" s="58">
        <v>11</v>
      </c>
      <c r="Y17" s="65">
        <f t="shared" si="8"/>
        <v>5.2083333333333339</v>
      </c>
      <c r="Z17" s="56">
        <f t="shared" si="9"/>
        <v>177.36</v>
      </c>
      <c r="AA17" s="66">
        <f t="shared" si="10"/>
        <v>13.643076923076924</v>
      </c>
      <c r="AB17" s="67">
        <f t="shared" si="11"/>
        <v>1.0317997293640053</v>
      </c>
      <c r="AC17" s="68">
        <f t="shared" si="12"/>
        <v>0.58518802762854949</v>
      </c>
      <c r="AD17" s="69">
        <f t="shared" si="13"/>
        <v>0.56569343065693434</v>
      </c>
      <c r="AE17" s="70">
        <v>27</v>
      </c>
      <c r="AF17" s="71">
        <v>1</v>
      </c>
      <c r="AG17" s="72">
        <v>16</v>
      </c>
      <c r="AH17" s="51">
        <v>27</v>
      </c>
      <c r="AI17" s="61">
        <v>21</v>
      </c>
      <c r="AJ17" s="73">
        <f t="shared" si="14"/>
        <v>1.2857142857142858</v>
      </c>
    </row>
    <row r="18" spans="1:36" s="23" customFormat="1" ht="24" customHeight="1">
      <c r="A18" s="74">
        <v>11</v>
      </c>
      <c r="B18" s="129" t="s">
        <v>85</v>
      </c>
      <c r="C18" s="26">
        <v>18</v>
      </c>
      <c r="D18" s="27">
        <v>489</v>
      </c>
      <c r="E18" s="28">
        <v>14.6</v>
      </c>
      <c r="F18" s="29">
        <f t="shared" si="0"/>
        <v>9.0111111111111128</v>
      </c>
      <c r="G18" s="30">
        <f t="shared" si="1"/>
        <v>13.267893660531699</v>
      </c>
      <c r="H18" s="31">
        <v>195</v>
      </c>
      <c r="I18" s="32">
        <f t="shared" si="2"/>
        <v>10.833333333333334</v>
      </c>
      <c r="J18" s="33">
        <f>164+(U18*3)+O18</f>
        <v>406</v>
      </c>
      <c r="K18" s="34">
        <f t="shared" si="3"/>
        <v>0.48029556650246308</v>
      </c>
      <c r="L18" s="35">
        <v>71</v>
      </c>
      <c r="M18" s="36">
        <v>146</v>
      </c>
      <c r="N18" s="34">
        <f t="shared" si="4"/>
        <v>0.4863013698630137</v>
      </c>
      <c r="O18" s="35">
        <v>50</v>
      </c>
      <c r="P18" s="35">
        <v>28</v>
      </c>
      <c r="Q18" s="37">
        <f>28/50</f>
        <v>0.56000000000000005</v>
      </c>
      <c r="R18" s="38">
        <f t="shared" si="5"/>
        <v>0.34246575342465752</v>
      </c>
      <c r="S18" s="39">
        <f t="shared" si="6"/>
        <v>22</v>
      </c>
      <c r="T18" s="26">
        <v>25</v>
      </c>
      <c r="U18" s="36">
        <v>64</v>
      </c>
      <c r="V18" s="34">
        <f t="shared" si="7"/>
        <v>0.390625</v>
      </c>
      <c r="W18" s="31">
        <v>62</v>
      </c>
      <c r="X18" s="33">
        <v>15</v>
      </c>
      <c r="Y18" s="40">
        <f t="shared" si="8"/>
        <v>6.298568507157464</v>
      </c>
      <c r="Z18" s="31">
        <f t="shared" si="9"/>
        <v>212</v>
      </c>
      <c r="AA18" s="41">
        <f t="shared" si="10"/>
        <v>11.777777777777779</v>
      </c>
      <c r="AB18" s="42">
        <f t="shared" si="11"/>
        <v>0.91981132075471694</v>
      </c>
      <c r="AC18" s="43">
        <f t="shared" si="12"/>
        <v>0.5803571428571429</v>
      </c>
      <c r="AD18" s="44">
        <f t="shared" si="13"/>
        <v>0.57191780821917804</v>
      </c>
      <c r="AE18" s="45">
        <v>30</v>
      </c>
      <c r="AF18" s="46">
        <v>2</v>
      </c>
      <c r="AG18" s="47">
        <v>20</v>
      </c>
      <c r="AH18" s="26">
        <v>79</v>
      </c>
      <c r="AI18" s="36">
        <v>44</v>
      </c>
      <c r="AJ18" s="48">
        <f t="shared" si="14"/>
        <v>1.7954545454545454</v>
      </c>
    </row>
    <row r="19" spans="1:36" s="23" customFormat="1" ht="24" customHeight="1">
      <c r="A19" s="49">
        <v>12</v>
      </c>
      <c r="B19" s="130" t="s">
        <v>86</v>
      </c>
      <c r="C19" s="51">
        <v>21</v>
      </c>
      <c r="D19" s="52">
        <v>724</v>
      </c>
      <c r="E19" s="53">
        <v>16.8</v>
      </c>
      <c r="F19" s="54">
        <f t="shared" si="0"/>
        <v>11.252380952380953</v>
      </c>
      <c r="G19" s="55">
        <f t="shared" si="1"/>
        <v>13.055248618784532</v>
      </c>
      <c r="H19" s="56">
        <v>345</v>
      </c>
      <c r="I19" s="57">
        <f t="shared" si="2"/>
        <v>16.428571428571427</v>
      </c>
      <c r="J19" s="58">
        <f>258+(U19*3)+O19</f>
        <v>726</v>
      </c>
      <c r="K19" s="59">
        <f t="shared" si="3"/>
        <v>0.47520661157024796</v>
      </c>
      <c r="L19" s="60">
        <v>109</v>
      </c>
      <c r="M19" s="61">
        <v>250</v>
      </c>
      <c r="N19" s="59">
        <f t="shared" si="4"/>
        <v>0.436</v>
      </c>
      <c r="O19" s="60">
        <v>105</v>
      </c>
      <c r="P19" s="60">
        <v>85</v>
      </c>
      <c r="Q19" s="62">
        <f>85/105</f>
        <v>0.80952380952380953</v>
      </c>
      <c r="R19" s="63">
        <f t="shared" si="5"/>
        <v>0.42</v>
      </c>
      <c r="S19" s="64">
        <f t="shared" si="6"/>
        <v>46.2</v>
      </c>
      <c r="T19" s="51">
        <v>42</v>
      </c>
      <c r="U19" s="61">
        <v>121</v>
      </c>
      <c r="V19" s="59">
        <f t="shared" si="7"/>
        <v>0.34710743801652894</v>
      </c>
      <c r="W19" s="56">
        <v>57</v>
      </c>
      <c r="X19" s="58">
        <v>11</v>
      </c>
      <c r="Y19" s="65">
        <f t="shared" si="8"/>
        <v>3.756906077348066</v>
      </c>
      <c r="Z19" s="56">
        <f t="shared" si="9"/>
        <v>343.2</v>
      </c>
      <c r="AA19" s="66">
        <f t="shared" si="10"/>
        <v>16.342857142857142</v>
      </c>
      <c r="AB19" s="67">
        <f t="shared" si="11"/>
        <v>1.0052447552447552</v>
      </c>
      <c r="AC19" s="68">
        <f t="shared" si="12"/>
        <v>0.58237677245104658</v>
      </c>
      <c r="AD19" s="69">
        <f t="shared" si="13"/>
        <v>0.52</v>
      </c>
      <c r="AE19" s="70">
        <v>35</v>
      </c>
      <c r="AF19" s="71">
        <v>3</v>
      </c>
      <c r="AG19" s="72">
        <v>34</v>
      </c>
      <c r="AH19" s="51">
        <v>44</v>
      </c>
      <c r="AI19" s="61">
        <v>47</v>
      </c>
      <c r="AJ19" s="73">
        <f t="shared" si="14"/>
        <v>0.93617021276595747</v>
      </c>
    </row>
    <row r="20" spans="1:36" s="23" customFormat="1" ht="24" customHeight="1">
      <c r="A20" s="80">
        <v>13</v>
      </c>
      <c r="B20" s="129" t="s">
        <v>87</v>
      </c>
      <c r="C20" s="26">
        <v>39</v>
      </c>
      <c r="D20" s="27">
        <v>1093</v>
      </c>
      <c r="E20" s="28">
        <v>11.8</v>
      </c>
      <c r="F20" s="29">
        <f t="shared" si="0"/>
        <v>8.8358974358974365</v>
      </c>
      <c r="G20" s="30">
        <f t="shared" si="1"/>
        <v>12.611161939615737</v>
      </c>
      <c r="H20" s="31">
        <v>584</v>
      </c>
      <c r="I20" s="32">
        <f t="shared" si="2"/>
        <v>14.974358974358974</v>
      </c>
      <c r="J20" s="33">
        <f>452+(U20*3)+O20</f>
        <v>1420</v>
      </c>
      <c r="K20" s="34">
        <f t="shared" si="3"/>
        <v>0.41126760563380282</v>
      </c>
      <c r="L20" s="35">
        <v>194</v>
      </c>
      <c r="M20" s="36">
        <v>504</v>
      </c>
      <c r="N20" s="34">
        <f t="shared" si="4"/>
        <v>0.38492063492063494</v>
      </c>
      <c r="O20" s="35">
        <v>134</v>
      </c>
      <c r="P20" s="35">
        <v>99</v>
      </c>
      <c r="Q20" s="37">
        <f>99/134</f>
        <v>0.73880597014925375</v>
      </c>
      <c r="R20" s="38">
        <f t="shared" si="5"/>
        <v>0.26587301587301587</v>
      </c>
      <c r="S20" s="39">
        <f t="shared" si="6"/>
        <v>58.96</v>
      </c>
      <c r="T20" s="26">
        <v>117</v>
      </c>
      <c r="U20" s="36">
        <v>278</v>
      </c>
      <c r="V20" s="34">
        <f t="shared" si="7"/>
        <v>0.42086330935251798</v>
      </c>
      <c r="W20" s="31">
        <v>118</v>
      </c>
      <c r="X20" s="33">
        <v>26</v>
      </c>
      <c r="Y20" s="40">
        <f t="shared" si="8"/>
        <v>5.2698993595608412</v>
      </c>
      <c r="Z20" s="31">
        <f t="shared" si="9"/>
        <v>634.96</v>
      </c>
      <c r="AA20" s="41">
        <f t="shared" si="10"/>
        <v>16.281025641025643</v>
      </c>
      <c r="AB20" s="42">
        <f t="shared" si="11"/>
        <v>0.91974297593549192</v>
      </c>
      <c r="AC20" s="43">
        <f t="shared" si="12"/>
        <v>0.51868694045758135</v>
      </c>
      <c r="AD20" s="44">
        <f t="shared" si="13"/>
        <v>0.50099206349206349</v>
      </c>
      <c r="AE20" s="45">
        <v>76</v>
      </c>
      <c r="AF20" s="46">
        <v>2</v>
      </c>
      <c r="AG20" s="47">
        <v>30</v>
      </c>
      <c r="AH20" s="26">
        <v>96</v>
      </c>
      <c r="AI20" s="36">
        <v>72</v>
      </c>
      <c r="AJ20" s="48">
        <f t="shared" si="14"/>
        <v>1.3333333333333333</v>
      </c>
    </row>
    <row r="21" spans="1:36" s="23" customFormat="1" ht="24" customHeight="1">
      <c r="A21" s="49">
        <v>14</v>
      </c>
      <c r="B21" s="130" t="s">
        <v>88</v>
      </c>
      <c r="C21" s="51">
        <v>21</v>
      </c>
      <c r="D21" s="52">
        <v>648</v>
      </c>
      <c r="E21" s="53">
        <v>14.3</v>
      </c>
      <c r="F21" s="54">
        <f t="shared" si="0"/>
        <v>9.6285714285714281</v>
      </c>
      <c r="G21" s="55">
        <f t="shared" si="1"/>
        <v>12.481481481481481</v>
      </c>
      <c r="H21" s="56">
        <v>226</v>
      </c>
      <c r="I21" s="57">
        <f t="shared" si="2"/>
        <v>10.761904761904763</v>
      </c>
      <c r="J21" s="58">
        <f>280+(U21*3)+O21</f>
        <v>535</v>
      </c>
      <c r="K21" s="59">
        <f t="shared" si="3"/>
        <v>0.42242990654205609</v>
      </c>
      <c r="L21" s="60">
        <v>96</v>
      </c>
      <c r="M21" s="61">
        <v>211</v>
      </c>
      <c r="N21" s="59">
        <f t="shared" si="4"/>
        <v>0.45497630331753552</v>
      </c>
      <c r="O21" s="60">
        <v>42</v>
      </c>
      <c r="P21" s="60">
        <v>21</v>
      </c>
      <c r="Q21" s="62">
        <v>0.5</v>
      </c>
      <c r="R21" s="63">
        <f t="shared" si="5"/>
        <v>0.1990521327014218</v>
      </c>
      <c r="S21" s="64">
        <f t="shared" si="6"/>
        <v>18.48</v>
      </c>
      <c r="T21" s="51">
        <v>13</v>
      </c>
      <c r="U21" s="61">
        <v>71</v>
      </c>
      <c r="V21" s="59">
        <f t="shared" si="7"/>
        <v>0.18309859154929578</v>
      </c>
      <c r="W21" s="56">
        <v>99</v>
      </c>
      <c r="X21" s="58">
        <v>57</v>
      </c>
      <c r="Y21" s="65">
        <f t="shared" si="8"/>
        <v>9.6296296296296298</v>
      </c>
      <c r="Z21" s="56">
        <f t="shared" si="9"/>
        <v>264.48</v>
      </c>
      <c r="AA21" s="66">
        <f t="shared" si="10"/>
        <v>12.594285714285714</v>
      </c>
      <c r="AB21" s="67">
        <f t="shared" si="11"/>
        <v>0.85450695704779178</v>
      </c>
      <c r="AC21" s="68">
        <f t="shared" si="12"/>
        <v>0.49241763988147119</v>
      </c>
      <c r="AD21" s="69">
        <f t="shared" si="13"/>
        <v>0.48578199052132703</v>
      </c>
      <c r="AE21" s="70">
        <v>50</v>
      </c>
      <c r="AF21" s="71">
        <v>13</v>
      </c>
      <c r="AG21" s="72">
        <v>31</v>
      </c>
      <c r="AH21" s="51">
        <v>56</v>
      </c>
      <c r="AI21" s="61">
        <v>35</v>
      </c>
      <c r="AJ21" s="73">
        <f t="shared" si="14"/>
        <v>1.6</v>
      </c>
    </row>
    <row r="22" spans="1:36" s="23" customFormat="1" ht="24" customHeight="1">
      <c r="A22" s="74">
        <v>15</v>
      </c>
      <c r="B22" s="129" t="s">
        <v>89</v>
      </c>
      <c r="C22" s="26">
        <v>22</v>
      </c>
      <c r="D22" s="27">
        <v>1012</v>
      </c>
      <c r="E22" s="28">
        <v>14.4</v>
      </c>
      <c r="F22" s="29">
        <f t="shared" si="0"/>
        <v>14.21818181818182</v>
      </c>
      <c r="G22" s="30">
        <f t="shared" si="1"/>
        <v>12.363636363636367</v>
      </c>
      <c r="H22" s="31">
        <v>420</v>
      </c>
      <c r="I22" s="32">
        <f t="shared" si="2"/>
        <v>19.09090909090909</v>
      </c>
      <c r="J22" s="33">
        <f>352+(U22*3)+O22</f>
        <v>783</v>
      </c>
      <c r="K22" s="34">
        <f t="shared" si="3"/>
        <v>0.53639846743295017</v>
      </c>
      <c r="L22" s="35">
        <v>149</v>
      </c>
      <c r="M22" s="36">
        <v>310</v>
      </c>
      <c r="N22" s="34">
        <f t="shared" si="4"/>
        <v>0.48064516129032259</v>
      </c>
      <c r="O22" s="35">
        <v>86</v>
      </c>
      <c r="P22" s="35">
        <v>73</v>
      </c>
      <c r="Q22" s="37">
        <f>73/86</f>
        <v>0.84883720930232553</v>
      </c>
      <c r="R22" s="38">
        <f t="shared" si="5"/>
        <v>0.27741935483870966</v>
      </c>
      <c r="S22" s="39">
        <f t="shared" si="6"/>
        <v>37.840000000000003</v>
      </c>
      <c r="T22" s="26">
        <v>44</v>
      </c>
      <c r="U22" s="36">
        <v>115</v>
      </c>
      <c r="V22" s="34">
        <f t="shared" si="7"/>
        <v>0.38260869565217392</v>
      </c>
      <c r="W22" s="31">
        <v>87</v>
      </c>
      <c r="X22" s="33">
        <v>19</v>
      </c>
      <c r="Y22" s="40">
        <f t="shared" si="8"/>
        <v>4.1897233201581034</v>
      </c>
      <c r="Z22" s="31">
        <f t="shared" si="9"/>
        <v>409.84000000000003</v>
      </c>
      <c r="AA22" s="41">
        <f t="shared" si="10"/>
        <v>18.629090909090909</v>
      </c>
      <c r="AB22" s="42">
        <f t="shared" si="11"/>
        <v>1.0247901620144446</v>
      </c>
      <c r="AC22" s="43">
        <f t="shared" si="12"/>
        <v>0.60372585096596132</v>
      </c>
      <c r="AD22" s="44">
        <f t="shared" si="13"/>
        <v>0.55161290322580647</v>
      </c>
      <c r="AE22" s="45">
        <v>56</v>
      </c>
      <c r="AF22" s="46">
        <v>1</v>
      </c>
      <c r="AG22" s="47">
        <v>36</v>
      </c>
      <c r="AH22" s="26">
        <v>91</v>
      </c>
      <c r="AI22" s="36">
        <v>62</v>
      </c>
      <c r="AJ22" s="48">
        <f t="shared" si="14"/>
        <v>1.467741935483871</v>
      </c>
    </row>
    <row r="23" spans="1:36" s="23" customFormat="1" ht="24" customHeight="1">
      <c r="A23" s="49">
        <v>16</v>
      </c>
      <c r="B23" s="130" t="s">
        <v>90</v>
      </c>
      <c r="C23" s="51">
        <v>25</v>
      </c>
      <c r="D23" s="52">
        <v>766</v>
      </c>
      <c r="E23" s="53">
        <v>11.9</v>
      </c>
      <c r="F23" s="54">
        <f t="shared" si="0"/>
        <v>8.52</v>
      </c>
      <c r="G23" s="55">
        <f t="shared" si="1"/>
        <v>11.122715404699738</v>
      </c>
      <c r="H23" s="56">
        <v>364</v>
      </c>
      <c r="I23" s="57">
        <f t="shared" si="2"/>
        <v>14.56</v>
      </c>
      <c r="J23" s="58">
        <f>314+(U23*3)+O23</f>
        <v>853</v>
      </c>
      <c r="K23" s="59">
        <f t="shared" si="3"/>
        <v>0.42672919109026963</v>
      </c>
      <c r="L23" s="60">
        <v>120</v>
      </c>
      <c r="M23" s="61">
        <v>305</v>
      </c>
      <c r="N23" s="59">
        <f t="shared" si="4"/>
        <v>0.39344262295081966</v>
      </c>
      <c r="O23" s="60">
        <v>95</v>
      </c>
      <c r="P23" s="60">
        <v>71</v>
      </c>
      <c r="Q23" s="62">
        <f>71/95</f>
        <v>0.74736842105263157</v>
      </c>
      <c r="R23" s="63">
        <f t="shared" si="5"/>
        <v>0.31147540983606559</v>
      </c>
      <c r="S23" s="64">
        <f t="shared" si="6"/>
        <v>41.8</v>
      </c>
      <c r="T23" s="51">
        <v>53</v>
      </c>
      <c r="U23" s="61">
        <v>148</v>
      </c>
      <c r="V23" s="59">
        <f t="shared" si="7"/>
        <v>0.35810810810810811</v>
      </c>
      <c r="W23" s="56">
        <v>84</v>
      </c>
      <c r="X23" s="58">
        <v>14</v>
      </c>
      <c r="Y23" s="65">
        <f t="shared" si="8"/>
        <v>5.1174934725848562</v>
      </c>
      <c r="Z23" s="56">
        <f t="shared" si="9"/>
        <v>397.8</v>
      </c>
      <c r="AA23" s="66">
        <f t="shared" si="10"/>
        <v>15.912000000000001</v>
      </c>
      <c r="AB23" s="67">
        <f t="shared" si="11"/>
        <v>0.91503267973856206</v>
      </c>
      <c r="AC23" s="68">
        <f t="shared" si="12"/>
        <v>0.52479815455594003</v>
      </c>
      <c r="AD23" s="69">
        <f t="shared" si="13"/>
        <v>0.48032786885245904</v>
      </c>
      <c r="AE23" s="70">
        <v>57</v>
      </c>
      <c r="AF23" s="71">
        <v>6</v>
      </c>
      <c r="AG23" s="72">
        <v>16</v>
      </c>
      <c r="AH23" s="51">
        <v>61</v>
      </c>
      <c r="AI23" s="61">
        <v>51</v>
      </c>
      <c r="AJ23" s="73">
        <f t="shared" si="14"/>
        <v>1.196078431372549</v>
      </c>
    </row>
    <row r="24" spans="1:36" s="23" customFormat="1" ht="24" customHeight="1">
      <c r="A24" s="74">
        <v>17</v>
      </c>
      <c r="B24" s="129" t="s">
        <v>91</v>
      </c>
      <c r="C24" s="26">
        <v>19</v>
      </c>
      <c r="D24" s="27">
        <v>527</v>
      </c>
      <c r="E24" s="28">
        <v>10.1</v>
      </c>
      <c r="F24" s="29">
        <f t="shared" si="0"/>
        <v>7.5526315789473681</v>
      </c>
      <c r="G24" s="30">
        <f t="shared" si="1"/>
        <v>10.891840607210627</v>
      </c>
      <c r="H24" s="31">
        <v>199</v>
      </c>
      <c r="I24" s="32">
        <f t="shared" si="2"/>
        <v>10.473684210526315</v>
      </c>
      <c r="J24" s="33">
        <f>166+(U24*3)+O24</f>
        <v>427</v>
      </c>
      <c r="K24" s="34">
        <f t="shared" si="3"/>
        <v>0.46604215456674475</v>
      </c>
      <c r="L24" s="35">
        <v>67</v>
      </c>
      <c r="M24" s="36">
        <v>152</v>
      </c>
      <c r="N24" s="34">
        <f t="shared" si="4"/>
        <v>0.44078947368421051</v>
      </c>
      <c r="O24" s="35">
        <v>54</v>
      </c>
      <c r="P24" s="35">
        <v>38</v>
      </c>
      <c r="Q24" s="37">
        <f>38/54</f>
        <v>0.70370370370370372</v>
      </c>
      <c r="R24" s="38">
        <f t="shared" si="5"/>
        <v>0.35526315789473684</v>
      </c>
      <c r="S24" s="39">
        <f t="shared" si="6"/>
        <v>23.76</v>
      </c>
      <c r="T24" s="26">
        <v>27</v>
      </c>
      <c r="U24" s="36">
        <v>69</v>
      </c>
      <c r="V24" s="34">
        <f t="shared" si="7"/>
        <v>0.39130434782608697</v>
      </c>
      <c r="W24" s="31">
        <v>33</v>
      </c>
      <c r="X24" s="33">
        <v>12</v>
      </c>
      <c r="Y24" s="40">
        <f t="shared" si="8"/>
        <v>3.4155597722960152</v>
      </c>
      <c r="Z24" s="31">
        <f t="shared" si="9"/>
        <v>206.76</v>
      </c>
      <c r="AA24" s="41">
        <f t="shared" si="10"/>
        <v>10.882105263157895</v>
      </c>
      <c r="AB24" s="42">
        <f t="shared" si="11"/>
        <v>0.9624685625846392</v>
      </c>
      <c r="AC24" s="43">
        <f t="shared" si="12"/>
        <v>0.56611288120163861</v>
      </c>
      <c r="AD24" s="44">
        <f t="shared" si="13"/>
        <v>0.52960526315789469</v>
      </c>
      <c r="AE24" s="45">
        <v>40</v>
      </c>
      <c r="AF24" s="46">
        <v>1</v>
      </c>
      <c r="AG24" s="47">
        <v>20</v>
      </c>
      <c r="AH24" s="26">
        <v>55</v>
      </c>
      <c r="AI24" s="36">
        <v>31</v>
      </c>
      <c r="AJ24" s="48">
        <f t="shared" si="14"/>
        <v>1.7741935483870968</v>
      </c>
    </row>
    <row r="25" spans="1:36" s="23" customFormat="1" ht="24" customHeight="1">
      <c r="A25" s="81">
        <v>18</v>
      </c>
      <c r="B25" s="130" t="s">
        <v>92</v>
      </c>
      <c r="C25" s="51">
        <v>24</v>
      </c>
      <c r="D25" s="52">
        <v>597</v>
      </c>
      <c r="E25" s="53">
        <v>8.5</v>
      </c>
      <c r="F25" s="54">
        <f t="shared" si="0"/>
        <v>6.1166666666666671</v>
      </c>
      <c r="G25" s="55">
        <f t="shared" si="1"/>
        <v>9.8358458961474042</v>
      </c>
      <c r="H25" s="56">
        <v>222</v>
      </c>
      <c r="I25" s="57">
        <f t="shared" si="2"/>
        <v>9.25</v>
      </c>
      <c r="J25" s="58">
        <f>186+(U25*3)+O25</f>
        <v>599</v>
      </c>
      <c r="K25" s="59">
        <f t="shared" si="3"/>
        <v>0.37061769616026713</v>
      </c>
      <c r="L25" s="60">
        <v>83</v>
      </c>
      <c r="M25" s="61">
        <v>222</v>
      </c>
      <c r="N25" s="59">
        <f t="shared" si="4"/>
        <v>0.37387387387387389</v>
      </c>
      <c r="O25" s="60">
        <v>26</v>
      </c>
      <c r="P25" s="60">
        <v>18</v>
      </c>
      <c r="Q25" s="62">
        <f>18/26</f>
        <v>0.69230769230769229</v>
      </c>
      <c r="R25" s="63">
        <f t="shared" si="5"/>
        <v>0.11711711711711711</v>
      </c>
      <c r="S25" s="64">
        <f t="shared" si="6"/>
        <v>11.44</v>
      </c>
      <c r="T25" s="51">
        <v>38</v>
      </c>
      <c r="U25" s="61">
        <v>129</v>
      </c>
      <c r="V25" s="59">
        <f t="shared" si="7"/>
        <v>0.29457364341085274</v>
      </c>
      <c r="W25" s="56">
        <v>78</v>
      </c>
      <c r="X25" s="58">
        <v>14</v>
      </c>
      <c r="Y25" s="65">
        <f t="shared" si="8"/>
        <v>6.1641541038525958</v>
      </c>
      <c r="Z25" s="56">
        <f t="shared" si="9"/>
        <v>277.44</v>
      </c>
      <c r="AA25" s="66">
        <f t="shared" si="10"/>
        <v>11.56</v>
      </c>
      <c r="AB25" s="67">
        <f t="shared" si="11"/>
        <v>0.80017301038062283</v>
      </c>
      <c r="AC25" s="68">
        <f t="shared" si="12"/>
        <v>0.47549691569568198</v>
      </c>
      <c r="AD25" s="69">
        <f t="shared" si="13"/>
        <v>0.45945945945945948</v>
      </c>
      <c r="AE25" s="70">
        <v>38</v>
      </c>
      <c r="AF25" s="71">
        <v>0</v>
      </c>
      <c r="AG25" s="72">
        <v>30</v>
      </c>
      <c r="AH25" s="51">
        <v>66</v>
      </c>
      <c r="AI25" s="61">
        <v>44</v>
      </c>
      <c r="AJ25" s="73">
        <f t="shared" si="14"/>
        <v>1.5</v>
      </c>
    </row>
    <row r="26" spans="1:36" s="23" customFormat="1" ht="24" customHeight="1">
      <c r="A26" s="74">
        <v>19</v>
      </c>
      <c r="B26" s="129" t="s">
        <v>93</v>
      </c>
      <c r="C26" s="26">
        <v>36</v>
      </c>
      <c r="D26" s="27">
        <v>848</v>
      </c>
      <c r="E26" s="28">
        <v>7.1</v>
      </c>
      <c r="F26" s="29">
        <f t="shared" si="0"/>
        <v>5.3250000000000011</v>
      </c>
      <c r="G26" s="30">
        <f t="shared" si="1"/>
        <v>9.0424528301886813</v>
      </c>
      <c r="H26" s="31">
        <v>301</v>
      </c>
      <c r="I26" s="32">
        <f t="shared" si="2"/>
        <v>8.3611111111111107</v>
      </c>
      <c r="J26" s="33">
        <f>214+(U26*3)+O26</f>
        <v>721</v>
      </c>
      <c r="K26" s="34">
        <f t="shared" si="3"/>
        <v>0.41747572815533979</v>
      </c>
      <c r="L26" s="35">
        <v>99</v>
      </c>
      <c r="M26" s="36">
        <v>250</v>
      </c>
      <c r="N26" s="34">
        <f t="shared" si="4"/>
        <v>0.39600000000000002</v>
      </c>
      <c r="O26" s="35">
        <v>78</v>
      </c>
      <c r="P26" s="35">
        <v>62</v>
      </c>
      <c r="Q26" s="37">
        <f>62/78</f>
        <v>0.79487179487179482</v>
      </c>
      <c r="R26" s="38">
        <f t="shared" si="5"/>
        <v>0.312</v>
      </c>
      <c r="S26" s="39">
        <f t="shared" si="6"/>
        <v>34.32</v>
      </c>
      <c r="T26" s="26">
        <v>41</v>
      </c>
      <c r="U26" s="36">
        <f>59+84</f>
        <v>143</v>
      </c>
      <c r="V26" s="34">
        <f t="shared" si="7"/>
        <v>0.28671328671328672</v>
      </c>
      <c r="W26" s="31">
        <v>61</v>
      </c>
      <c r="X26" s="33">
        <v>17</v>
      </c>
      <c r="Y26" s="40">
        <f t="shared" si="8"/>
        <v>3.6792452830188678</v>
      </c>
      <c r="Z26" s="31">
        <f t="shared" si="9"/>
        <v>341.32</v>
      </c>
      <c r="AA26" s="41">
        <f t="shared" si="10"/>
        <v>9.4811111111111117</v>
      </c>
      <c r="AB26" s="42">
        <f t="shared" si="11"/>
        <v>0.88187038556193598</v>
      </c>
      <c r="AC26" s="43">
        <f t="shared" si="12"/>
        <v>0.52933314575126622</v>
      </c>
      <c r="AD26" s="44">
        <f t="shared" si="13"/>
        <v>0.47799999999999998</v>
      </c>
      <c r="AE26" s="45">
        <v>83</v>
      </c>
      <c r="AF26" s="46">
        <v>1</v>
      </c>
      <c r="AG26" s="47">
        <v>40</v>
      </c>
      <c r="AH26" s="26">
        <v>74</v>
      </c>
      <c r="AI26" s="36">
        <v>57</v>
      </c>
      <c r="AJ26" s="48">
        <f t="shared" si="14"/>
        <v>1.2982456140350878</v>
      </c>
    </row>
    <row r="27" spans="1:36" s="23" customFormat="1" ht="24" customHeight="1">
      <c r="A27" s="82">
        <v>20</v>
      </c>
      <c r="B27" s="131" t="s">
        <v>94</v>
      </c>
      <c r="C27" s="84">
        <v>19</v>
      </c>
      <c r="D27" s="85">
        <v>587</v>
      </c>
      <c r="E27" s="86">
        <v>10.199999999999999</v>
      </c>
      <c r="F27" s="87">
        <f t="shared" si="0"/>
        <v>6.8578947368421055</v>
      </c>
      <c r="G27" s="88">
        <f t="shared" si="1"/>
        <v>8.8790459965928452</v>
      </c>
      <c r="H27" s="89">
        <v>205</v>
      </c>
      <c r="I27" s="90">
        <f t="shared" si="2"/>
        <v>10.789473684210526</v>
      </c>
      <c r="J27" s="91">
        <f>198+(U27*3)+O27</f>
        <v>544</v>
      </c>
      <c r="K27" s="92">
        <f t="shared" si="3"/>
        <v>0.37683823529411764</v>
      </c>
      <c r="L27" s="93">
        <v>78</v>
      </c>
      <c r="M27" s="94">
        <v>204</v>
      </c>
      <c r="N27" s="92">
        <f t="shared" si="4"/>
        <v>0.38235294117647056</v>
      </c>
      <c r="O27" s="93">
        <v>31</v>
      </c>
      <c r="P27" s="93">
        <v>13</v>
      </c>
      <c r="Q27" s="95">
        <f>13/31</f>
        <v>0.41935483870967744</v>
      </c>
      <c r="R27" s="96">
        <f t="shared" si="5"/>
        <v>0.15196078431372548</v>
      </c>
      <c r="S27" s="97">
        <f t="shared" si="6"/>
        <v>13.64</v>
      </c>
      <c r="T27" s="84">
        <v>36</v>
      </c>
      <c r="U27" s="94">
        <v>105</v>
      </c>
      <c r="V27" s="92">
        <f t="shared" si="7"/>
        <v>0.34285714285714286</v>
      </c>
      <c r="W27" s="89">
        <v>92</v>
      </c>
      <c r="X27" s="91">
        <v>16</v>
      </c>
      <c r="Y27" s="98">
        <f t="shared" si="8"/>
        <v>7.3594548551959118</v>
      </c>
      <c r="Z27" s="89">
        <f t="shared" si="9"/>
        <v>249.64</v>
      </c>
      <c r="AA27" s="99">
        <f t="shared" si="10"/>
        <v>13.138947368421052</v>
      </c>
      <c r="AB27" s="100">
        <f t="shared" si="11"/>
        <v>0.82118250280403782</v>
      </c>
      <c r="AC27" s="101">
        <f t="shared" si="12"/>
        <v>0.4709612203639037</v>
      </c>
      <c r="AD27" s="102">
        <f t="shared" si="13"/>
        <v>0.47058823529411764</v>
      </c>
      <c r="AE27" s="103">
        <v>26</v>
      </c>
      <c r="AF27" s="104">
        <v>2</v>
      </c>
      <c r="AG27" s="105">
        <v>19</v>
      </c>
      <c r="AH27" s="84">
        <v>39</v>
      </c>
      <c r="AI27" s="94">
        <v>32</v>
      </c>
      <c r="AJ27" s="106">
        <f t="shared" si="14"/>
        <v>1.21875</v>
      </c>
    </row>
    <row r="28" spans="1:36" s="107" customFormat="1" ht="21" customHeight="1">
      <c r="A28" s="171" t="s">
        <v>71</v>
      </c>
      <c r="B28" s="171"/>
      <c r="C28" s="171"/>
      <c r="D28" s="171"/>
      <c r="E28" s="171"/>
      <c r="F28" s="171"/>
      <c r="G28" s="171"/>
      <c r="H28" s="171"/>
      <c r="I28" s="171"/>
      <c r="J28" s="171"/>
      <c r="K28" s="171"/>
      <c r="L28" s="171"/>
      <c r="M28" s="171"/>
      <c r="N28" s="171"/>
      <c r="O28" s="171"/>
      <c r="P28" s="171"/>
      <c r="Q28" s="171"/>
      <c r="R28" s="171"/>
      <c r="S28" s="171"/>
      <c r="T28" s="171"/>
      <c r="U28" s="171"/>
      <c r="V28" s="171"/>
      <c r="W28" s="171"/>
      <c r="X28" s="171"/>
      <c r="Y28" s="171"/>
    </row>
    <row r="29" spans="1:36" s="107" customFormat="1" ht="21" customHeight="1">
      <c r="A29" s="171" t="s">
        <v>72</v>
      </c>
      <c r="B29" s="171"/>
      <c r="C29" s="171"/>
      <c r="D29" s="171"/>
      <c r="E29" s="171"/>
      <c r="F29" s="171"/>
      <c r="G29" s="171"/>
      <c r="H29" s="171"/>
      <c r="I29" s="171"/>
      <c r="J29" s="171"/>
      <c r="K29" s="171"/>
      <c r="L29" s="171"/>
      <c r="M29" s="171"/>
      <c r="N29" s="171"/>
      <c r="O29" s="171"/>
      <c r="P29" s="171"/>
      <c r="Q29" s="171"/>
      <c r="R29" s="171"/>
      <c r="S29" s="171"/>
      <c r="T29" s="171"/>
      <c r="U29" s="171"/>
      <c r="V29" s="171"/>
      <c r="W29" s="171"/>
      <c r="X29" s="171"/>
      <c r="Y29" s="171"/>
    </row>
  </sheetData>
  <mergeCells count="27">
    <mergeCell ref="AE1:AJ4"/>
    <mergeCell ref="D5:D7"/>
    <mergeCell ref="C1:AD2"/>
    <mergeCell ref="C3:AD4"/>
    <mergeCell ref="H5:K5"/>
    <mergeCell ref="L5:N5"/>
    <mergeCell ref="O5:S5"/>
    <mergeCell ref="W5:Y5"/>
    <mergeCell ref="W6:Y6"/>
    <mergeCell ref="E5:G5"/>
    <mergeCell ref="T5:V5"/>
    <mergeCell ref="A5:B7"/>
    <mergeCell ref="A29:Y29"/>
    <mergeCell ref="A1:B4"/>
    <mergeCell ref="AF5:AF7"/>
    <mergeCell ref="AH5:AJ5"/>
    <mergeCell ref="C5:C7"/>
    <mergeCell ref="AG5:AG7"/>
    <mergeCell ref="L6:N6"/>
    <mergeCell ref="H6:K6"/>
    <mergeCell ref="Z5:AB5"/>
    <mergeCell ref="T6:V6"/>
    <mergeCell ref="O6:S6"/>
    <mergeCell ref="A28:Y28"/>
    <mergeCell ref="AH6:AJ6"/>
    <mergeCell ref="E6:G6"/>
    <mergeCell ref="AE5:AE7"/>
  </mergeCells>
  <pageMargins left="0.25" right="0.25" top="0.75" bottom="0.75" header="0.3" footer="0.3"/>
  <pageSetup paperSize="3" fitToWidth="0" fitToHeight="0"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J29"/>
  <sheetViews>
    <sheetView zoomScale="105" workbookViewId="0">
      <selection activeCell="Y11" sqref="Y11"/>
    </sheetView>
  </sheetViews>
  <sheetFormatPr defaultColWidth="10" defaultRowHeight="15"/>
  <cols>
    <col min="1" max="1" width="3.7109375" customWidth="1"/>
    <col min="2" max="2" width="30.140625" customWidth="1"/>
    <col min="3" max="3" width="4.7109375" customWidth="1"/>
    <col min="4" max="4" width="5.140625" customWidth="1"/>
    <col min="5" max="7" width="6.7109375" style="1" customWidth="1"/>
    <col min="8" max="8" width="4.28515625" style="1" customWidth="1"/>
    <col min="9" max="10" width="5.7109375" style="1" customWidth="1"/>
    <col min="11" max="11" width="6.85546875" style="1" customWidth="1"/>
    <col min="12" max="13" width="4.7109375" style="1" customWidth="1"/>
    <col min="14" max="14" width="6.28515625" style="1" customWidth="1"/>
    <col min="15" max="16" width="4.7109375" style="1" customWidth="1"/>
    <col min="17" max="17" width="6.28515625" style="1" customWidth="1"/>
    <col min="18" max="18" width="8.42578125" style="1" customWidth="1"/>
    <col min="19" max="19" width="5.28515625" style="1" customWidth="1"/>
    <col min="20" max="21" width="4.7109375" style="1" customWidth="1"/>
    <col min="22" max="22" width="6.28515625" style="1" customWidth="1"/>
    <col min="23" max="24" width="5" style="1" customWidth="1"/>
    <col min="25" max="25" width="6.7109375" style="1" customWidth="1"/>
    <col min="26" max="26" width="6" style="1" customWidth="1"/>
    <col min="27" max="27" width="6.7109375" style="1" customWidth="1"/>
    <col min="28" max="28" width="8.5703125" style="1" customWidth="1"/>
    <col min="29" max="29" width="15.7109375" style="1" customWidth="1"/>
    <col min="30" max="30" width="13.7109375" style="1" customWidth="1"/>
    <col min="31" max="33" width="4.140625" style="1" customWidth="1"/>
    <col min="34" max="35" width="5" style="1" customWidth="1"/>
    <col min="36" max="36" width="6.42578125" customWidth="1"/>
  </cols>
  <sheetData>
    <row r="1" spans="1:36" ht="22.5" customHeight="1">
      <c r="A1" s="187"/>
      <c r="B1" s="188"/>
      <c r="C1" s="196" t="s">
        <v>95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96"/>
      <c r="P1" s="196"/>
      <c r="Q1" s="196"/>
      <c r="R1" s="196"/>
      <c r="S1" s="196"/>
      <c r="T1" s="196"/>
      <c r="U1" s="196"/>
      <c r="V1" s="196"/>
      <c r="W1" s="196"/>
      <c r="X1" s="196"/>
      <c r="Y1" s="196"/>
      <c r="Z1" s="196"/>
      <c r="AA1" s="196"/>
      <c r="AB1" s="196"/>
      <c r="AC1" s="196"/>
      <c r="AD1" s="196"/>
      <c r="AE1" s="198"/>
      <c r="AF1" s="198"/>
      <c r="AG1" s="198"/>
      <c r="AH1" s="198"/>
      <c r="AI1" s="198"/>
      <c r="AJ1" s="199"/>
    </row>
    <row r="2" spans="1:36" ht="16.5" customHeight="1">
      <c r="A2" s="189"/>
      <c r="B2" s="190"/>
      <c r="C2" s="197"/>
      <c r="D2" s="197"/>
      <c r="E2" s="197"/>
      <c r="F2" s="197"/>
      <c r="G2" s="197"/>
      <c r="H2" s="197"/>
      <c r="I2" s="197"/>
      <c r="J2" s="197"/>
      <c r="K2" s="197"/>
      <c r="L2" s="197"/>
      <c r="M2" s="197"/>
      <c r="N2" s="197"/>
      <c r="O2" s="197"/>
      <c r="P2" s="197"/>
      <c r="Q2" s="197"/>
      <c r="R2" s="197"/>
      <c r="S2" s="197"/>
      <c r="T2" s="197"/>
      <c r="U2" s="197"/>
      <c r="V2" s="197"/>
      <c r="W2" s="197"/>
      <c r="X2" s="197"/>
      <c r="Y2" s="197"/>
      <c r="Z2" s="197"/>
      <c r="AA2" s="197"/>
      <c r="AB2" s="197"/>
      <c r="AC2" s="197"/>
      <c r="AD2" s="197"/>
      <c r="AE2" s="200"/>
      <c r="AF2" s="200"/>
      <c r="AG2" s="200"/>
      <c r="AH2" s="200"/>
      <c r="AI2" s="200"/>
      <c r="AJ2" s="201"/>
    </row>
    <row r="3" spans="1:36" ht="22.5" customHeight="1">
      <c r="A3" s="189"/>
      <c r="B3" s="190"/>
      <c r="C3" s="208" t="s">
        <v>96</v>
      </c>
      <c r="D3" s="208"/>
      <c r="E3" s="208"/>
      <c r="F3" s="208"/>
      <c r="G3" s="208"/>
      <c r="H3" s="208"/>
      <c r="I3" s="208"/>
      <c r="J3" s="208"/>
      <c r="K3" s="208"/>
      <c r="L3" s="208"/>
      <c r="M3" s="208"/>
      <c r="N3" s="208"/>
      <c r="O3" s="208"/>
      <c r="P3" s="208"/>
      <c r="Q3" s="208"/>
      <c r="R3" s="208"/>
      <c r="S3" s="208"/>
      <c r="T3" s="208"/>
      <c r="U3" s="208"/>
      <c r="V3" s="208"/>
      <c r="W3" s="208"/>
      <c r="X3" s="208"/>
      <c r="Y3" s="208"/>
      <c r="Z3" s="208"/>
      <c r="AA3" s="208"/>
      <c r="AB3" s="208"/>
      <c r="AC3" s="208"/>
      <c r="AD3" s="208"/>
      <c r="AE3" s="200"/>
      <c r="AF3" s="200"/>
      <c r="AG3" s="200"/>
      <c r="AH3" s="200"/>
      <c r="AI3" s="200"/>
      <c r="AJ3" s="201"/>
    </row>
    <row r="4" spans="1:36" ht="21" customHeight="1">
      <c r="A4" s="191"/>
      <c r="B4" s="192"/>
      <c r="C4" s="208"/>
      <c r="D4" s="208"/>
      <c r="E4" s="208"/>
      <c r="F4" s="208"/>
      <c r="G4" s="208"/>
      <c r="H4" s="208"/>
      <c r="I4" s="208"/>
      <c r="J4" s="208"/>
      <c r="K4" s="208"/>
      <c r="L4" s="208"/>
      <c r="M4" s="208"/>
      <c r="N4" s="208"/>
      <c r="O4" s="208"/>
      <c r="P4" s="208"/>
      <c r="Q4" s="208"/>
      <c r="R4" s="208"/>
      <c r="S4" s="208"/>
      <c r="T4" s="208"/>
      <c r="U4" s="208"/>
      <c r="V4" s="208"/>
      <c r="W4" s="208"/>
      <c r="X4" s="208"/>
      <c r="Y4" s="208"/>
      <c r="Z4" s="208"/>
      <c r="AA4" s="208"/>
      <c r="AB4" s="208"/>
      <c r="AC4" s="208"/>
      <c r="AD4" s="208"/>
      <c r="AE4" s="202"/>
      <c r="AF4" s="202"/>
      <c r="AG4" s="202"/>
      <c r="AH4" s="202"/>
      <c r="AI4" s="202"/>
      <c r="AJ4" s="203"/>
    </row>
    <row r="5" spans="1:36" ht="14.25" customHeight="1">
      <c r="A5" s="257" t="s">
        <v>2</v>
      </c>
      <c r="B5" s="258"/>
      <c r="C5" s="233" t="s">
        <v>3</v>
      </c>
      <c r="D5" s="232" t="s">
        <v>4</v>
      </c>
      <c r="E5" s="254" t="s">
        <v>5</v>
      </c>
      <c r="F5" s="253"/>
      <c r="G5" s="248"/>
      <c r="H5" s="230" t="s">
        <v>6</v>
      </c>
      <c r="I5" s="231"/>
      <c r="J5" s="231"/>
      <c r="K5" s="232"/>
      <c r="L5" s="253" t="s">
        <v>7</v>
      </c>
      <c r="M5" s="253"/>
      <c r="N5" s="248"/>
      <c r="O5" s="254" t="s">
        <v>8</v>
      </c>
      <c r="P5" s="253"/>
      <c r="Q5" s="253"/>
      <c r="R5" s="253"/>
      <c r="S5" s="248"/>
      <c r="T5" s="254" t="s">
        <v>9</v>
      </c>
      <c r="U5" s="253"/>
      <c r="V5" s="248"/>
      <c r="W5" s="254" t="s">
        <v>10</v>
      </c>
      <c r="X5" s="253"/>
      <c r="Y5" s="248"/>
      <c r="Z5" s="242" t="s">
        <v>11</v>
      </c>
      <c r="AA5" s="243"/>
      <c r="AB5" s="244"/>
      <c r="AC5" s="108" t="s">
        <v>12</v>
      </c>
      <c r="AD5" s="109" t="s">
        <v>13</v>
      </c>
      <c r="AE5" s="248" t="s">
        <v>14</v>
      </c>
      <c r="AF5" s="227" t="s">
        <v>15</v>
      </c>
      <c r="AG5" s="227" t="s">
        <v>16</v>
      </c>
      <c r="AH5" s="230" t="s">
        <v>17</v>
      </c>
      <c r="AI5" s="231"/>
      <c r="AJ5" s="232"/>
    </row>
    <row r="6" spans="1:36" ht="15" customHeight="1">
      <c r="A6" s="259"/>
      <c r="B6" s="260"/>
      <c r="C6" s="234"/>
      <c r="D6" s="251"/>
      <c r="E6" s="239" t="s">
        <v>18</v>
      </c>
      <c r="F6" s="240"/>
      <c r="G6" s="241"/>
      <c r="H6" s="239" t="s">
        <v>19</v>
      </c>
      <c r="I6" s="240"/>
      <c r="J6" s="240"/>
      <c r="K6" s="241"/>
      <c r="L6" s="236" t="s">
        <v>20</v>
      </c>
      <c r="M6" s="237"/>
      <c r="N6" s="238"/>
      <c r="O6" s="245" t="s">
        <v>21</v>
      </c>
      <c r="P6" s="246"/>
      <c r="Q6" s="246"/>
      <c r="R6" s="246"/>
      <c r="S6" s="247"/>
      <c r="T6" s="245" t="s">
        <v>22</v>
      </c>
      <c r="U6" s="246"/>
      <c r="V6" s="247"/>
      <c r="W6" s="245" t="s">
        <v>23</v>
      </c>
      <c r="X6" s="246"/>
      <c r="Y6" s="247"/>
      <c r="Z6" s="110" t="s">
        <v>24</v>
      </c>
      <c r="AA6" s="111" t="s">
        <v>25</v>
      </c>
      <c r="AB6" s="112" t="s">
        <v>26</v>
      </c>
      <c r="AC6" s="113" t="s">
        <v>27</v>
      </c>
      <c r="AD6" s="114" t="s">
        <v>28</v>
      </c>
      <c r="AE6" s="249"/>
      <c r="AF6" s="228"/>
      <c r="AG6" s="228"/>
      <c r="AH6" s="239" t="s">
        <v>29</v>
      </c>
      <c r="AI6" s="240"/>
      <c r="AJ6" s="241"/>
    </row>
    <row r="7" spans="1:36" ht="15" customHeight="1">
      <c r="A7" s="261"/>
      <c r="B7" s="262"/>
      <c r="C7" s="235"/>
      <c r="D7" s="252"/>
      <c r="E7" s="115" t="s">
        <v>30</v>
      </c>
      <c r="F7" s="119" t="s">
        <v>31</v>
      </c>
      <c r="G7" s="117" t="s">
        <v>32</v>
      </c>
      <c r="H7" s="115" t="s">
        <v>33</v>
      </c>
      <c r="I7" s="117" t="s">
        <v>34</v>
      </c>
      <c r="J7" s="116" t="s">
        <v>35</v>
      </c>
      <c r="K7" s="118" t="s">
        <v>36</v>
      </c>
      <c r="L7" s="119" t="s">
        <v>37</v>
      </c>
      <c r="M7" s="116" t="s">
        <v>35</v>
      </c>
      <c r="N7" s="120" t="s">
        <v>36</v>
      </c>
      <c r="O7" s="115" t="s">
        <v>35</v>
      </c>
      <c r="P7" s="119" t="s">
        <v>37</v>
      </c>
      <c r="Q7" s="116" t="s">
        <v>36</v>
      </c>
      <c r="R7" s="121" t="s">
        <v>38</v>
      </c>
      <c r="S7" s="122" t="s">
        <v>39</v>
      </c>
      <c r="T7" s="115" t="s">
        <v>37</v>
      </c>
      <c r="U7" s="116" t="s">
        <v>35</v>
      </c>
      <c r="V7" s="120" t="s">
        <v>36</v>
      </c>
      <c r="W7" s="123" t="s">
        <v>40</v>
      </c>
      <c r="X7" s="124" t="s">
        <v>41</v>
      </c>
      <c r="Y7" s="117" t="s">
        <v>42</v>
      </c>
      <c r="Z7" s="123" t="s">
        <v>43</v>
      </c>
      <c r="AA7" s="125" t="s">
        <v>44</v>
      </c>
      <c r="AB7" s="126" t="s">
        <v>45</v>
      </c>
      <c r="AC7" s="127" t="s">
        <v>46</v>
      </c>
      <c r="AD7" s="128" t="s">
        <v>47</v>
      </c>
      <c r="AE7" s="250"/>
      <c r="AF7" s="229"/>
      <c r="AG7" s="229"/>
      <c r="AH7" s="123" t="s">
        <v>48</v>
      </c>
      <c r="AI7" s="124" t="s">
        <v>49</v>
      </c>
      <c r="AJ7" s="118" t="s">
        <v>50</v>
      </c>
    </row>
    <row r="8" spans="1:36" s="23" customFormat="1" ht="24" customHeight="1">
      <c r="A8" s="74">
        <v>1</v>
      </c>
      <c r="B8" s="129" t="s">
        <v>97</v>
      </c>
      <c r="C8" s="26">
        <v>22</v>
      </c>
      <c r="D8" s="27">
        <v>666</v>
      </c>
      <c r="E8" s="28">
        <v>18.600000000000001</v>
      </c>
      <c r="F8" s="29">
        <f t="shared" ref="F8:F27" si="0">(H8+(0.4*L8)-(0.7*M8)-(0.4*(O8-P8))+(0.7*X8)+(0.3*W8)+AG8+(0.7*AH8)+(0.7*AF8)-(0.4*AE8)-AI8)/C8</f>
        <v>11.936363636363639</v>
      </c>
      <c r="G8" s="30">
        <f t="shared" ref="G8:G27" si="1">F8*40/(D8/C8)</f>
        <v>15.771771771771775</v>
      </c>
      <c r="H8" s="31">
        <v>376</v>
      </c>
      <c r="I8" s="32">
        <f t="shared" ref="I8:I27" si="2">H8/C8</f>
        <v>17.09090909090909</v>
      </c>
      <c r="J8" s="33">
        <f>394+(U8*3)+O8</f>
        <v>813</v>
      </c>
      <c r="K8" s="34">
        <f t="shared" ref="K8:K27" si="3">H8/J8</f>
        <v>0.46248462484624847</v>
      </c>
      <c r="L8" s="35">
        <v>127</v>
      </c>
      <c r="M8" s="36">
        <v>294</v>
      </c>
      <c r="N8" s="34">
        <f t="shared" ref="N8:N27" si="4">L8/M8</f>
        <v>0.43197278911564624</v>
      </c>
      <c r="O8" s="35">
        <v>128</v>
      </c>
      <c r="P8" s="35">
        <v>90</v>
      </c>
      <c r="Q8" s="37">
        <f>90/128</f>
        <v>0.703125</v>
      </c>
      <c r="R8" s="38">
        <f t="shared" ref="R8:R27" si="5">O8/M8</f>
        <v>0.43537414965986393</v>
      </c>
      <c r="S8" s="39">
        <f t="shared" ref="S8:S27" si="6">O8*0.44</f>
        <v>56.32</v>
      </c>
      <c r="T8" s="26">
        <v>32</v>
      </c>
      <c r="U8" s="36">
        <v>97</v>
      </c>
      <c r="V8" s="34">
        <f t="shared" ref="V8:V27" si="7">T8/U8</f>
        <v>0.32989690721649484</v>
      </c>
      <c r="W8" s="31">
        <v>119</v>
      </c>
      <c r="X8" s="33">
        <v>35</v>
      </c>
      <c r="Y8" s="40">
        <f t="shared" ref="Y8:Y27" si="8">((W8+X8)/D8)*40</f>
        <v>9.2492492492492495</v>
      </c>
      <c r="Z8" s="31">
        <f t="shared" ref="Z8:Z27" si="9">M8+S8+AI8</f>
        <v>401.32</v>
      </c>
      <c r="AA8" s="41">
        <f t="shared" ref="AA8:AA27" si="10">Z8/C8</f>
        <v>18.241818181818182</v>
      </c>
      <c r="AB8" s="42">
        <f t="shared" ref="AB8:AB27" si="11">H8/Z8</f>
        <v>0.93690820293032995</v>
      </c>
      <c r="AC8" s="43">
        <f t="shared" ref="AC8:AC27" si="12">H8/(2*(S8+M8))</f>
        <v>0.53665220369947475</v>
      </c>
      <c r="AD8" s="44">
        <f t="shared" ref="AD8:AD27" si="13">((T8*0.5)+L8)/M8</f>
        <v>0.48639455782312924</v>
      </c>
      <c r="AE8" s="45">
        <v>31</v>
      </c>
      <c r="AF8" s="46">
        <v>5</v>
      </c>
      <c r="AG8" s="47">
        <v>18</v>
      </c>
      <c r="AH8" s="26">
        <v>55</v>
      </c>
      <c r="AI8" s="36">
        <v>51</v>
      </c>
      <c r="AJ8" s="48">
        <f t="shared" ref="AJ8:AJ27" si="14">AH8/AI8</f>
        <v>1.0784313725490196</v>
      </c>
    </row>
    <row r="9" spans="1:36" s="23" customFormat="1" ht="24" customHeight="1">
      <c r="A9" s="132">
        <v>2</v>
      </c>
      <c r="B9" s="130" t="s">
        <v>98</v>
      </c>
      <c r="C9" s="51">
        <v>17</v>
      </c>
      <c r="D9" s="52">
        <v>444</v>
      </c>
      <c r="E9" s="53">
        <v>13.7</v>
      </c>
      <c r="F9" s="54">
        <f t="shared" si="0"/>
        <v>10.299999999999997</v>
      </c>
      <c r="G9" s="55">
        <f t="shared" si="1"/>
        <v>15.774774774774771</v>
      </c>
      <c r="H9" s="56">
        <v>239</v>
      </c>
      <c r="I9" s="57">
        <f t="shared" si="2"/>
        <v>14.058823529411764</v>
      </c>
      <c r="J9" s="58">
        <f>240+(U9*3)+O9</f>
        <v>433</v>
      </c>
      <c r="K9" s="59">
        <f t="shared" si="3"/>
        <v>0.55196304849884525</v>
      </c>
      <c r="L9" s="60">
        <v>88</v>
      </c>
      <c r="M9" s="61">
        <v>170</v>
      </c>
      <c r="N9" s="59">
        <f t="shared" si="4"/>
        <v>0.51764705882352946</v>
      </c>
      <c r="O9" s="60">
        <v>43</v>
      </c>
      <c r="P9" s="60">
        <v>38</v>
      </c>
      <c r="Q9" s="62">
        <f>38/43</f>
        <v>0.88372093023255816</v>
      </c>
      <c r="R9" s="63">
        <f t="shared" si="5"/>
        <v>0.25294117647058822</v>
      </c>
      <c r="S9" s="64">
        <f t="shared" si="6"/>
        <v>18.920000000000002</v>
      </c>
      <c r="T9" s="51">
        <v>25</v>
      </c>
      <c r="U9" s="61">
        <v>50</v>
      </c>
      <c r="V9" s="59">
        <f t="shared" si="7"/>
        <v>0.5</v>
      </c>
      <c r="W9" s="56">
        <v>42</v>
      </c>
      <c r="X9" s="58">
        <v>15</v>
      </c>
      <c r="Y9" s="65">
        <f t="shared" si="8"/>
        <v>5.1351351351351351</v>
      </c>
      <c r="Z9" s="56">
        <f t="shared" si="9"/>
        <v>209.92000000000002</v>
      </c>
      <c r="AA9" s="66">
        <f t="shared" si="10"/>
        <v>12.348235294117648</v>
      </c>
      <c r="AB9" s="67">
        <f t="shared" si="11"/>
        <v>1.1385289634146341</v>
      </c>
      <c r="AC9" s="68">
        <f t="shared" si="12"/>
        <v>0.63254287529112851</v>
      </c>
      <c r="AD9" s="69">
        <f t="shared" si="13"/>
        <v>0.5911764705882353</v>
      </c>
      <c r="AE9" s="70">
        <v>21</v>
      </c>
      <c r="AF9" s="71">
        <v>5</v>
      </c>
      <c r="AG9" s="72">
        <v>10</v>
      </c>
      <c r="AH9" s="51">
        <v>21</v>
      </c>
      <c r="AI9" s="61">
        <v>21</v>
      </c>
      <c r="AJ9" s="73">
        <f t="shared" si="14"/>
        <v>1</v>
      </c>
    </row>
    <row r="10" spans="1:36" s="23" customFormat="1" ht="24" customHeight="1">
      <c r="A10" s="74">
        <v>3</v>
      </c>
      <c r="B10" s="129" t="s">
        <v>99</v>
      </c>
      <c r="C10" s="26">
        <v>17</v>
      </c>
      <c r="D10" s="27">
        <v>416</v>
      </c>
      <c r="E10" s="28">
        <v>10.9</v>
      </c>
      <c r="F10" s="29">
        <f t="shared" si="0"/>
        <v>8.8411764705882359</v>
      </c>
      <c r="G10" s="30">
        <f t="shared" si="1"/>
        <v>14.45192307692308</v>
      </c>
      <c r="H10" s="31">
        <v>220</v>
      </c>
      <c r="I10" s="32">
        <f t="shared" si="2"/>
        <v>12.941176470588236</v>
      </c>
      <c r="J10" s="33">
        <f>264+(U10*3)+O10</f>
        <v>422</v>
      </c>
      <c r="K10" s="34">
        <f t="shared" si="3"/>
        <v>0.52132701421800953</v>
      </c>
      <c r="L10" s="35">
        <v>92</v>
      </c>
      <c r="M10" s="36">
        <v>173</v>
      </c>
      <c r="N10" s="34">
        <f t="shared" si="4"/>
        <v>0.53179190751445082</v>
      </c>
      <c r="O10" s="35">
        <v>35</v>
      </c>
      <c r="P10" s="35">
        <v>20</v>
      </c>
      <c r="Q10" s="37">
        <f>20/35</f>
        <v>0.5714285714285714</v>
      </c>
      <c r="R10" s="38">
        <f t="shared" si="5"/>
        <v>0.20231213872832371</v>
      </c>
      <c r="S10" s="39">
        <f t="shared" si="6"/>
        <v>15.4</v>
      </c>
      <c r="T10" s="26">
        <v>16</v>
      </c>
      <c r="U10" s="36">
        <v>41</v>
      </c>
      <c r="V10" s="34">
        <f t="shared" si="7"/>
        <v>0.3902439024390244</v>
      </c>
      <c r="W10" s="31">
        <v>39</v>
      </c>
      <c r="X10" s="33">
        <v>32</v>
      </c>
      <c r="Y10" s="40">
        <f t="shared" si="8"/>
        <v>6.8269230769230766</v>
      </c>
      <c r="Z10" s="31">
        <f t="shared" si="9"/>
        <v>217.4</v>
      </c>
      <c r="AA10" s="41">
        <f t="shared" si="10"/>
        <v>12.788235294117648</v>
      </c>
      <c r="AB10" s="42">
        <f t="shared" si="11"/>
        <v>1.0119595216191353</v>
      </c>
      <c r="AC10" s="43">
        <f t="shared" si="12"/>
        <v>0.58386411889596601</v>
      </c>
      <c r="AD10" s="44">
        <f t="shared" si="13"/>
        <v>0.5780346820809249</v>
      </c>
      <c r="AE10" s="45">
        <v>55</v>
      </c>
      <c r="AF10" s="46">
        <v>4</v>
      </c>
      <c r="AG10" s="47">
        <v>13</v>
      </c>
      <c r="AH10" s="26">
        <v>31</v>
      </c>
      <c r="AI10" s="36">
        <v>29</v>
      </c>
      <c r="AJ10" s="48">
        <f t="shared" si="14"/>
        <v>1.0689655172413792</v>
      </c>
    </row>
    <row r="11" spans="1:36" s="23" customFormat="1" ht="24" customHeight="1">
      <c r="A11" s="49">
        <v>4</v>
      </c>
      <c r="B11" s="130" t="s">
        <v>100</v>
      </c>
      <c r="C11" s="51">
        <v>20</v>
      </c>
      <c r="D11" s="52">
        <v>547</v>
      </c>
      <c r="E11" s="53">
        <v>14.3</v>
      </c>
      <c r="F11" s="54">
        <f t="shared" si="0"/>
        <v>9.7750000000000021</v>
      </c>
      <c r="G11" s="55">
        <f t="shared" si="1"/>
        <v>14.296160877513715</v>
      </c>
      <c r="H11" s="56">
        <v>256</v>
      </c>
      <c r="I11" s="57">
        <f t="shared" si="2"/>
        <v>12.8</v>
      </c>
      <c r="J11" s="58">
        <f>278+(U11*3)+O11</f>
        <v>487</v>
      </c>
      <c r="K11" s="59">
        <f t="shared" si="3"/>
        <v>0.52566735112936347</v>
      </c>
      <c r="L11" s="60">
        <v>87</v>
      </c>
      <c r="M11" s="61">
        <v>175</v>
      </c>
      <c r="N11" s="59">
        <f t="shared" si="4"/>
        <v>0.49714285714285716</v>
      </c>
      <c r="O11" s="60">
        <v>101</v>
      </c>
      <c r="P11" s="60">
        <v>73</v>
      </c>
      <c r="Q11" s="62">
        <f>73/101</f>
        <v>0.72277227722772275</v>
      </c>
      <c r="R11" s="63">
        <f t="shared" si="5"/>
        <v>0.57714285714285718</v>
      </c>
      <c r="S11" s="64">
        <f t="shared" si="6"/>
        <v>44.44</v>
      </c>
      <c r="T11" s="51">
        <v>9</v>
      </c>
      <c r="U11" s="61">
        <v>36</v>
      </c>
      <c r="V11" s="59">
        <f t="shared" si="7"/>
        <v>0.25</v>
      </c>
      <c r="W11" s="56">
        <v>61</v>
      </c>
      <c r="X11" s="58">
        <v>52</v>
      </c>
      <c r="Y11" s="65">
        <f t="shared" si="8"/>
        <v>8.2632541133455213</v>
      </c>
      <c r="Z11" s="56">
        <f t="shared" si="9"/>
        <v>263.44</v>
      </c>
      <c r="AA11" s="66">
        <f t="shared" si="10"/>
        <v>13.172000000000001</v>
      </c>
      <c r="AB11" s="67">
        <f t="shared" si="11"/>
        <v>0.97175827512906165</v>
      </c>
      <c r="AC11" s="68">
        <f t="shared" si="12"/>
        <v>0.58330295297119938</v>
      </c>
      <c r="AD11" s="69">
        <f t="shared" si="13"/>
        <v>0.52285714285714291</v>
      </c>
      <c r="AE11" s="70">
        <v>64</v>
      </c>
      <c r="AF11" s="71">
        <v>2</v>
      </c>
      <c r="AG11" s="72">
        <v>26</v>
      </c>
      <c r="AH11" s="51">
        <v>37</v>
      </c>
      <c r="AI11" s="61">
        <v>44</v>
      </c>
      <c r="AJ11" s="73">
        <f t="shared" si="14"/>
        <v>0.84090909090909094</v>
      </c>
    </row>
    <row r="12" spans="1:36" s="23" customFormat="1" ht="24" customHeight="1">
      <c r="A12" s="74">
        <v>5</v>
      </c>
      <c r="B12" s="129" t="s">
        <v>101</v>
      </c>
      <c r="C12" s="26">
        <v>37</v>
      </c>
      <c r="D12" s="27">
        <v>1098</v>
      </c>
      <c r="E12" s="28">
        <v>16.899999999999999</v>
      </c>
      <c r="F12" s="29">
        <f t="shared" si="0"/>
        <v>10.55675675675676</v>
      </c>
      <c r="G12" s="30">
        <f t="shared" si="1"/>
        <v>14.229508196721316</v>
      </c>
      <c r="H12" s="31">
        <v>485</v>
      </c>
      <c r="I12" s="32">
        <f t="shared" si="2"/>
        <v>13.108108108108109</v>
      </c>
      <c r="J12" s="33">
        <f>416+(U12*3)+O12</f>
        <v>994</v>
      </c>
      <c r="K12" s="34">
        <f t="shared" si="3"/>
        <v>0.4879275653923541</v>
      </c>
      <c r="L12" s="35">
        <v>168</v>
      </c>
      <c r="M12" s="36">
        <v>347</v>
      </c>
      <c r="N12" s="34">
        <f t="shared" si="4"/>
        <v>0.48414985590778098</v>
      </c>
      <c r="O12" s="35">
        <v>161</v>
      </c>
      <c r="P12" s="35">
        <v>126</v>
      </c>
      <c r="Q12" s="37">
        <f>126/161</f>
        <v>0.78260869565217395</v>
      </c>
      <c r="R12" s="38">
        <f t="shared" si="5"/>
        <v>0.46397694524495675</v>
      </c>
      <c r="S12" s="39">
        <f t="shared" si="6"/>
        <v>70.84</v>
      </c>
      <c r="T12" s="26">
        <v>37</v>
      </c>
      <c r="U12" s="36">
        <v>139</v>
      </c>
      <c r="V12" s="34">
        <f t="shared" si="7"/>
        <v>0.26618705035971224</v>
      </c>
      <c r="W12" s="31">
        <v>139</v>
      </c>
      <c r="X12" s="33">
        <v>49</v>
      </c>
      <c r="Y12" s="40">
        <f t="shared" si="8"/>
        <v>6.8488160291438982</v>
      </c>
      <c r="Z12" s="31">
        <f t="shared" si="9"/>
        <v>502.84000000000003</v>
      </c>
      <c r="AA12" s="41">
        <f t="shared" si="10"/>
        <v>13.59027027027027</v>
      </c>
      <c r="AB12" s="42">
        <f t="shared" si="11"/>
        <v>0.96452151777901518</v>
      </c>
      <c r="AC12" s="43">
        <f t="shared" si="12"/>
        <v>0.58036569021635076</v>
      </c>
      <c r="AD12" s="44">
        <f t="shared" si="13"/>
        <v>0.53746397694524495</v>
      </c>
      <c r="AE12" s="45">
        <v>111</v>
      </c>
      <c r="AF12" s="46">
        <v>27</v>
      </c>
      <c r="AG12" s="47">
        <v>36</v>
      </c>
      <c r="AH12" s="26">
        <v>134</v>
      </c>
      <c r="AI12" s="36">
        <v>85</v>
      </c>
      <c r="AJ12" s="48">
        <f t="shared" si="14"/>
        <v>1.5764705882352941</v>
      </c>
    </row>
    <row r="13" spans="1:36" s="23" customFormat="1" ht="24" customHeight="1">
      <c r="A13" s="49">
        <v>6</v>
      </c>
      <c r="B13" s="130" t="s">
        <v>102</v>
      </c>
      <c r="C13" s="51">
        <v>16</v>
      </c>
      <c r="D13" s="52">
        <v>513</v>
      </c>
      <c r="E13" s="53">
        <v>14.3</v>
      </c>
      <c r="F13" s="54">
        <f t="shared" si="0"/>
        <v>11.231249999999999</v>
      </c>
      <c r="G13" s="55">
        <f t="shared" si="1"/>
        <v>14.011695906432749</v>
      </c>
      <c r="H13" s="56">
        <v>268</v>
      </c>
      <c r="I13" s="57">
        <f t="shared" si="2"/>
        <v>16.75</v>
      </c>
      <c r="J13" s="58">
        <f>78+(U13*3)+O13</f>
        <v>647</v>
      </c>
      <c r="K13" s="59">
        <f t="shared" si="3"/>
        <v>0.41421947449768159</v>
      </c>
      <c r="L13" s="60">
        <v>78</v>
      </c>
      <c r="M13" s="61">
        <v>208</v>
      </c>
      <c r="N13" s="59">
        <f t="shared" si="4"/>
        <v>0.375</v>
      </c>
      <c r="O13" s="60">
        <v>62</v>
      </c>
      <c r="P13" s="60">
        <v>51</v>
      </c>
      <c r="Q13" s="62">
        <f>51/62</f>
        <v>0.82258064516129037</v>
      </c>
      <c r="R13" s="63">
        <f t="shared" si="5"/>
        <v>0.29807692307692307</v>
      </c>
      <c r="S13" s="64">
        <f t="shared" si="6"/>
        <v>27.28</v>
      </c>
      <c r="T13" s="51">
        <v>61</v>
      </c>
      <c r="U13" s="61">
        <v>169</v>
      </c>
      <c r="V13" s="59">
        <f t="shared" si="7"/>
        <v>0.36094674556213019</v>
      </c>
      <c r="W13" s="56">
        <v>47</v>
      </c>
      <c r="X13" s="58">
        <v>13</v>
      </c>
      <c r="Y13" s="65">
        <f t="shared" si="8"/>
        <v>4.6783625730994149</v>
      </c>
      <c r="Z13" s="56">
        <f t="shared" si="9"/>
        <v>260.27999999999997</v>
      </c>
      <c r="AA13" s="66">
        <f t="shared" si="10"/>
        <v>16.267499999999998</v>
      </c>
      <c r="AB13" s="67">
        <f t="shared" si="11"/>
        <v>1.029660365759951</v>
      </c>
      <c r="AC13" s="68">
        <f t="shared" si="12"/>
        <v>0.56953417205032297</v>
      </c>
      <c r="AD13" s="69">
        <f t="shared" si="13"/>
        <v>0.52163461538461542</v>
      </c>
      <c r="AE13" s="70">
        <v>23</v>
      </c>
      <c r="AF13" s="71">
        <v>1</v>
      </c>
      <c r="AG13" s="72">
        <v>17</v>
      </c>
      <c r="AH13" s="51">
        <v>34</v>
      </c>
      <c r="AI13" s="61">
        <v>25</v>
      </c>
      <c r="AJ13" s="73">
        <f t="shared" si="14"/>
        <v>1.36</v>
      </c>
    </row>
    <row r="14" spans="1:36" s="23" customFormat="1" ht="24" customHeight="1">
      <c r="A14" s="74">
        <v>7</v>
      </c>
      <c r="B14" s="129" t="s">
        <v>103</v>
      </c>
      <c r="C14" s="26">
        <v>15</v>
      </c>
      <c r="D14" s="27">
        <v>254</v>
      </c>
      <c r="E14" s="28">
        <v>8.3000000000000007</v>
      </c>
      <c r="F14" s="29">
        <f t="shared" si="0"/>
        <v>5.7933333333333339</v>
      </c>
      <c r="G14" s="30">
        <f t="shared" si="1"/>
        <v>13.685039370078741</v>
      </c>
      <c r="H14" s="31">
        <v>115</v>
      </c>
      <c r="I14" s="32">
        <f t="shared" si="2"/>
        <v>7.666666666666667</v>
      </c>
      <c r="J14" s="33">
        <f>160+(U14*3)+O14</f>
        <v>225</v>
      </c>
      <c r="K14" s="34">
        <f t="shared" si="3"/>
        <v>0.51111111111111107</v>
      </c>
      <c r="L14" s="35">
        <v>47</v>
      </c>
      <c r="M14" s="36">
        <v>89</v>
      </c>
      <c r="N14" s="34">
        <f t="shared" si="4"/>
        <v>0.5280898876404494</v>
      </c>
      <c r="O14" s="35">
        <v>38</v>
      </c>
      <c r="P14" s="35">
        <v>21</v>
      </c>
      <c r="Q14" s="37">
        <f>21/38</f>
        <v>0.55263157894736847</v>
      </c>
      <c r="R14" s="38">
        <f t="shared" si="5"/>
        <v>0.42696629213483145</v>
      </c>
      <c r="S14" s="39">
        <f t="shared" si="6"/>
        <v>16.72</v>
      </c>
      <c r="T14" s="26">
        <v>0</v>
      </c>
      <c r="U14" s="36">
        <v>9</v>
      </c>
      <c r="V14" s="34">
        <f t="shared" si="7"/>
        <v>0</v>
      </c>
      <c r="W14" s="31">
        <v>41</v>
      </c>
      <c r="X14" s="33">
        <v>19</v>
      </c>
      <c r="Y14" s="40">
        <f t="shared" si="8"/>
        <v>9.4488188976377945</v>
      </c>
      <c r="Z14" s="31">
        <f t="shared" si="9"/>
        <v>127.72</v>
      </c>
      <c r="AA14" s="41">
        <f t="shared" si="10"/>
        <v>8.5146666666666668</v>
      </c>
      <c r="AB14" s="42">
        <f t="shared" si="11"/>
        <v>0.90040714062010652</v>
      </c>
      <c r="AC14" s="43">
        <f t="shared" si="12"/>
        <v>0.54388951948543318</v>
      </c>
      <c r="AD14" s="44">
        <f t="shared" si="13"/>
        <v>0.5280898876404494</v>
      </c>
      <c r="AE14" s="45">
        <v>30</v>
      </c>
      <c r="AF14" s="46">
        <v>8</v>
      </c>
      <c r="AG14" s="47">
        <v>18</v>
      </c>
      <c r="AH14" s="26">
        <v>10</v>
      </c>
      <c r="AI14" s="36">
        <v>22</v>
      </c>
      <c r="AJ14" s="48">
        <f t="shared" si="14"/>
        <v>0.45454545454545453</v>
      </c>
    </row>
    <row r="15" spans="1:36" s="23" customFormat="1" ht="24" customHeight="1">
      <c r="A15" s="49">
        <v>8</v>
      </c>
      <c r="B15" s="130" t="s">
        <v>104</v>
      </c>
      <c r="C15" s="51">
        <v>28</v>
      </c>
      <c r="D15" s="52">
        <v>856</v>
      </c>
      <c r="E15" s="53">
        <v>13.5</v>
      </c>
      <c r="F15" s="54">
        <f t="shared" si="0"/>
        <v>9.9</v>
      </c>
      <c r="G15" s="55">
        <f t="shared" si="1"/>
        <v>12.953271028037383</v>
      </c>
      <c r="H15" s="56">
        <v>431</v>
      </c>
      <c r="I15" s="57">
        <f t="shared" si="2"/>
        <v>15.392857142857142</v>
      </c>
      <c r="J15" s="58">
        <f>382+(U15*3)+O15</f>
        <v>913</v>
      </c>
      <c r="K15" s="59">
        <f t="shared" si="3"/>
        <v>0.4720700985761227</v>
      </c>
      <c r="L15" s="60">
        <v>147</v>
      </c>
      <c r="M15" s="61">
        <v>332</v>
      </c>
      <c r="N15" s="59">
        <f t="shared" si="4"/>
        <v>0.44277108433734941</v>
      </c>
      <c r="O15" s="60">
        <v>108</v>
      </c>
      <c r="P15" s="60">
        <v>87</v>
      </c>
      <c r="Q15" s="62">
        <f>87/108</f>
        <v>0.80555555555555558</v>
      </c>
      <c r="R15" s="63">
        <f t="shared" si="5"/>
        <v>0.3253012048192771</v>
      </c>
      <c r="S15" s="64">
        <f t="shared" si="6"/>
        <v>47.52</v>
      </c>
      <c r="T15" s="51">
        <v>50</v>
      </c>
      <c r="U15" s="61">
        <v>141</v>
      </c>
      <c r="V15" s="59">
        <f t="shared" si="7"/>
        <v>0.3546099290780142</v>
      </c>
      <c r="W15" s="56">
        <v>75</v>
      </c>
      <c r="X15" s="58">
        <v>30</v>
      </c>
      <c r="Y15" s="65">
        <f t="shared" si="8"/>
        <v>4.9065420560747661</v>
      </c>
      <c r="Z15" s="56">
        <f t="shared" si="9"/>
        <v>414.52</v>
      </c>
      <c r="AA15" s="66">
        <f t="shared" si="10"/>
        <v>14.804285714285713</v>
      </c>
      <c r="AB15" s="67">
        <f t="shared" si="11"/>
        <v>1.0397568271735984</v>
      </c>
      <c r="AC15" s="68">
        <f t="shared" si="12"/>
        <v>0.56782251264755479</v>
      </c>
      <c r="AD15" s="69">
        <f t="shared" si="13"/>
        <v>0.51807228915662651</v>
      </c>
      <c r="AE15" s="70">
        <v>65</v>
      </c>
      <c r="AF15" s="71">
        <v>1</v>
      </c>
      <c r="AG15" s="72">
        <v>17</v>
      </c>
      <c r="AH15" s="51">
        <v>40</v>
      </c>
      <c r="AI15" s="61">
        <v>35</v>
      </c>
      <c r="AJ15" s="73">
        <f t="shared" si="14"/>
        <v>1.1428571428571428</v>
      </c>
    </row>
    <row r="16" spans="1:36" s="23" customFormat="1" ht="24" customHeight="1">
      <c r="A16" s="74">
        <v>9</v>
      </c>
      <c r="B16" s="129" t="s">
        <v>105</v>
      </c>
      <c r="C16" s="26">
        <v>16</v>
      </c>
      <c r="D16" s="27">
        <v>439</v>
      </c>
      <c r="E16" s="28">
        <v>12.3</v>
      </c>
      <c r="F16" s="29">
        <f t="shared" si="0"/>
        <v>8.8187499999999979</v>
      </c>
      <c r="G16" s="30">
        <f t="shared" si="1"/>
        <v>12.856492027334848</v>
      </c>
      <c r="H16" s="31">
        <v>214</v>
      </c>
      <c r="I16" s="32">
        <f t="shared" si="2"/>
        <v>13.375</v>
      </c>
      <c r="J16" s="33">
        <f>226+(U16*3)+O16</f>
        <v>463</v>
      </c>
      <c r="K16" s="34">
        <f t="shared" si="3"/>
        <v>0.46220302375809935</v>
      </c>
      <c r="L16" s="35">
        <v>80</v>
      </c>
      <c r="M16" s="36">
        <v>174</v>
      </c>
      <c r="N16" s="34">
        <f t="shared" si="4"/>
        <v>0.45977011494252873</v>
      </c>
      <c r="O16" s="35">
        <v>54</v>
      </c>
      <c r="P16" s="35">
        <v>39</v>
      </c>
      <c r="Q16" s="37">
        <f>39/54</f>
        <v>0.72222222222222221</v>
      </c>
      <c r="R16" s="38">
        <f t="shared" si="5"/>
        <v>0.31034482758620691</v>
      </c>
      <c r="S16" s="39">
        <f t="shared" si="6"/>
        <v>23.76</v>
      </c>
      <c r="T16" s="26">
        <v>15</v>
      </c>
      <c r="U16" s="36">
        <v>61</v>
      </c>
      <c r="V16" s="34">
        <f t="shared" si="7"/>
        <v>0.24590163934426229</v>
      </c>
      <c r="W16" s="31">
        <v>59</v>
      </c>
      <c r="X16" s="33">
        <v>27</v>
      </c>
      <c r="Y16" s="40">
        <f t="shared" si="8"/>
        <v>7.8359908883826881</v>
      </c>
      <c r="Z16" s="31">
        <f t="shared" si="9"/>
        <v>232.76</v>
      </c>
      <c r="AA16" s="41">
        <f t="shared" si="10"/>
        <v>14.547499999999999</v>
      </c>
      <c r="AB16" s="42">
        <f t="shared" si="11"/>
        <v>0.91940195909950162</v>
      </c>
      <c r="AC16" s="43">
        <f t="shared" si="12"/>
        <v>0.5410598705501618</v>
      </c>
      <c r="AD16" s="44">
        <f t="shared" si="13"/>
        <v>0.50287356321839083</v>
      </c>
      <c r="AE16" s="45">
        <v>32</v>
      </c>
      <c r="AF16" s="46">
        <v>3</v>
      </c>
      <c r="AG16" s="47">
        <v>18</v>
      </c>
      <c r="AH16" s="26">
        <v>20</v>
      </c>
      <c r="AI16" s="36">
        <v>35</v>
      </c>
      <c r="AJ16" s="48">
        <f t="shared" si="14"/>
        <v>0.5714285714285714</v>
      </c>
    </row>
    <row r="17" spans="1:36" s="23" customFormat="1" ht="24" customHeight="1">
      <c r="A17" s="49">
        <v>10</v>
      </c>
      <c r="B17" s="130" t="s">
        <v>106</v>
      </c>
      <c r="C17" s="51">
        <v>34</v>
      </c>
      <c r="D17" s="52">
        <v>803</v>
      </c>
      <c r="E17" s="53">
        <v>11.5</v>
      </c>
      <c r="F17" s="54">
        <f t="shared" si="0"/>
        <v>7.3617647058823517</v>
      </c>
      <c r="G17" s="55">
        <f t="shared" si="1"/>
        <v>12.468244084682439</v>
      </c>
      <c r="H17" s="56">
        <v>261</v>
      </c>
      <c r="I17" s="57">
        <f t="shared" si="2"/>
        <v>7.6764705882352944</v>
      </c>
      <c r="J17" s="58">
        <f>242+(U17*3)+O17</f>
        <v>555</v>
      </c>
      <c r="K17" s="59">
        <f t="shared" si="3"/>
        <v>0.4702702702702703</v>
      </c>
      <c r="L17" s="60">
        <v>91</v>
      </c>
      <c r="M17" s="61">
        <v>196</v>
      </c>
      <c r="N17" s="59">
        <f t="shared" si="4"/>
        <v>0.4642857142857143</v>
      </c>
      <c r="O17" s="60">
        <v>88</v>
      </c>
      <c r="P17" s="60">
        <v>54</v>
      </c>
      <c r="Q17" s="62">
        <f>54/88</f>
        <v>0.61363636363636365</v>
      </c>
      <c r="R17" s="63">
        <f t="shared" si="5"/>
        <v>0.44897959183673469</v>
      </c>
      <c r="S17" s="64">
        <f t="shared" si="6"/>
        <v>38.72</v>
      </c>
      <c r="T17" s="51">
        <v>25</v>
      </c>
      <c r="U17" s="61">
        <v>75</v>
      </c>
      <c r="V17" s="59">
        <f t="shared" si="7"/>
        <v>0.33333333333333331</v>
      </c>
      <c r="W17" s="56">
        <v>134</v>
      </c>
      <c r="X17" s="58">
        <v>27</v>
      </c>
      <c r="Y17" s="65">
        <f t="shared" si="8"/>
        <v>8.0199252801992529</v>
      </c>
      <c r="Z17" s="56">
        <f t="shared" si="9"/>
        <v>282.72000000000003</v>
      </c>
      <c r="AA17" s="66">
        <f t="shared" si="10"/>
        <v>8.3152941176470598</v>
      </c>
      <c r="AB17" s="67">
        <f t="shared" si="11"/>
        <v>0.92317487266553466</v>
      </c>
      <c r="AC17" s="68">
        <f t="shared" si="12"/>
        <v>0.55598159509202449</v>
      </c>
      <c r="AD17" s="69">
        <f t="shared" si="13"/>
        <v>0.52806122448979587</v>
      </c>
      <c r="AE17" s="70">
        <v>89</v>
      </c>
      <c r="AF17" s="71">
        <v>11</v>
      </c>
      <c r="AG17" s="72">
        <v>40</v>
      </c>
      <c r="AH17" s="51">
        <v>115</v>
      </c>
      <c r="AI17" s="61">
        <v>48</v>
      </c>
      <c r="AJ17" s="73">
        <f t="shared" si="14"/>
        <v>2.3958333333333335</v>
      </c>
    </row>
    <row r="18" spans="1:36" s="23" customFormat="1" ht="24" customHeight="1">
      <c r="A18" s="74">
        <v>11</v>
      </c>
      <c r="B18" s="129" t="s">
        <v>107</v>
      </c>
      <c r="C18" s="26">
        <v>21</v>
      </c>
      <c r="D18" s="27">
        <v>390</v>
      </c>
      <c r="E18" s="28">
        <v>9.8000000000000007</v>
      </c>
      <c r="F18" s="29">
        <f t="shared" si="0"/>
        <v>5.7857142857142874</v>
      </c>
      <c r="G18" s="30">
        <f t="shared" si="1"/>
        <v>12.461538461538465</v>
      </c>
      <c r="H18" s="31">
        <v>187</v>
      </c>
      <c r="I18" s="32">
        <f t="shared" si="2"/>
        <v>8.9047619047619051</v>
      </c>
      <c r="J18" s="33">
        <f>112+(U18*3)+O18</f>
        <v>406</v>
      </c>
      <c r="K18" s="34">
        <f t="shared" si="3"/>
        <v>0.4605911330049261</v>
      </c>
      <c r="L18" s="35">
        <v>62</v>
      </c>
      <c r="M18" s="36">
        <v>139</v>
      </c>
      <c r="N18" s="34">
        <f t="shared" si="4"/>
        <v>0.4460431654676259</v>
      </c>
      <c r="O18" s="35">
        <v>45</v>
      </c>
      <c r="P18" s="35">
        <v>31</v>
      </c>
      <c r="Q18" s="37">
        <f>31/45</f>
        <v>0.68888888888888888</v>
      </c>
      <c r="R18" s="38">
        <f t="shared" si="5"/>
        <v>0.32374100719424459</v>
      </c>
      <c r="S18" s="39">
        <f t="shared" si="6"/>
        <v>19.8</v>
      </c>
      <c r="T18" s="26">
        <v>30</v>
      </c>
      <c r="U18" s="36">
        <v>83</v>
      </c>
      <c r="V18" s="34">
        <f t="shared" si="7"/>
        <v>0.36144578313253012</v>
      </c>
      <c r="W18" s="31">
        <v>61</v>
      </c>
      <c r="X18" s="33">
        <v>18</v>
      </c>
      <c r="Y18" s="40">
        <f t="shared" si="8"/>
        <v>8.1025641025641022</v>
      </c>
      <c r="Z18" s="31">
        <f t="shared" si="9"/>
        <v>184.8</v>
      </c>
      <c r="AA18" s="41">
        <f t="shared" si="10"/>
        <v>8.8000000000000007</v>
      </c>
      <c r="AB18" s="42">
        <f t="shared" si="11"/>
        <v>1.0119047619047619</v>
      </c>
      <c r="AC18" s="43">
        <f t="shared" si="12"/>
        <v>0.58879093198992438</v>
      </c>
      <c r="AD18" s="44">
        <f t="shared" si="13"/>
        <v>0.5539568345323741</v>
      </c>
      <c r="AE18" s="45">
        <v>38</v>
      </c>
      <c r="AF18" s="46">
        <v>2</v>
      </c>
      <c r="AG18" s="47">
        <v>11</v>
      </c>
      <c r="AH18" s="26">
        <v>15</v>
      </c>
      <c r="AI18" s="36">
        <v>26</v>
      </c>
      <c r="AJ18" s="48">
        <f t="shared" si="14"/>
        <v>0.57692307692307687</v>
      </c>
    </row>
    <row r="19" spans="1:36" s="23" customFormat="1" ht="24" customHeight="1">
      <c r="A19" s="49">
        <v>12</v>
      </c>
      <c r="B19" s="130" t="s">
        <v>108</v>
      </c>
      <c r="C19" s="51">
        <v>29</v>
      </c>
      <c r="D19" s="52">
        <v>411</v>
      </c>
      <c r="E19" s="53">
        <v>6</v>
      </c>
      <c r="F19" s="54">
        <f t="shared" si="0"/>
        <v>4.3241379310344836</v>
      </c>
      <c r="G19" s="55">
        <f t="shared" si="1"/>
        <v>12.204379562043799</v>
      </c>
      <c r="H19" s="56">
        <v>189</v>
      </c>
      <c r="I19" s="57">
        <f t="shared" si="2"/>
        <v>6.5172413793103452</v>
      </c>
      <c r="J19" s="58">
        <f>192+(U19*3)+O19</f>
        <v>440</v>
      </c>
      <c r="K19" s="59">
        <f t="shared" si="3"/>
        <v>0.42954545454545456</v>
      </c>
      <c r="L19" s="60">
        <v>62</v>
      </c>
      <c r="M19" s="61">
        <v>153</v>
      </c>
      <c r="N19" s="59">
        <f t="shared" si="4"/>
        <v>0.40522875816993464</v>
      </c>
      <c r="O19" s="60">
        <v>77</v>
      </c>
      <c r="P19" s="60">
        <v>53</v>
      </c>
      <c r="Q19" s="62">
        <f>53/77</f>
        <v>0.68831168831168832</v>
      </c>
      <c r="R19" s="63">
        <f t="shared" si="5"/>
        <v>0.50326797385620914</v>
      </c>
      <c r="S19" s="64">
        <f t="shared" si="6"/>
        <v>33.880000000000003</v>
      </c>
      <c r="T19" s="51">
        <v>12</v>
      </c>
      <c r="U19" s="61">
        <v>57</v>
      </c>
      <c r="V19" s="59">
        <f t="shared" si="7"/>
        <v>0.21052631578947367</v>
      </c>
      <c r="W19" s="56">
        <v>60</v>
      </c>
      <c r="X19" s="58">
        <v>27</v>
      </c>
      <c r="Y19" s="65">
        <f t="shared" si="8"/>
        <v>8.4671532846715323</v>
      </c>
      <c r="Z19" s="56">
        <f t="shared" si="9"/>
        <v>223.88</v>
      </c>
      <c r="AA19" s="66">
        <f t="shared" si="10"/>
        <v>7.72</v>
      </c>
      <c r="AB19" s="67">
        <f t="shared" si="11"/>
        <v>0.84420225120600323</v>
      </c>
      <c r="AC19" s="68">
        <f t="shared" si="12"/>
        <v>0.50567208904109595</v>
      </c>
      <c r="AD19" s="69">
        <f t="shared" si="13"/>
        <v>0.44444444444444442</v>
      </c>
      <c r="AE19" s="70">
        <v>48</v>
      </c>
      <c r="AF19" s="71">
        <v>10</v>
      </c>
      <c r="AG19" s="72">
        <v>21</v>
      </c>
      <c r="AH19" s="51">
        <v>28</v>
      </c>
      <c r="AI19" s="61">
        <v>37</v>
      </c>
      <c r="AJ19" s="73">
        <f t="shared" si="14"/>
        <v>0.7567567567567568</v>
      </c>
    </row>
    <row r="20" spans="1:36" s="23" customFormat="1" ht="24" customHeight="1">
      <c r="A20" s="80">
        <v>13</v>
      </c>
      <c r="B20" s="129" t="s">
        <v>109</v>
      </c>
      <c r="C20" s="26">
        <v>32</v>
      </c>
      <c r="D20" s="27">
        <v>965</v>
      </c>
      <c r="E20" s="28">
        <v>11.9</v>
      </c>
      <c r="F20" s="29">
        <f t="shared" si="0"/>
        <v>8.78125</v>
      </c>
      <c r="G20" s="30">
        <f t="shared" si="1"/>
        <v>11.647668393782384</v>
      </c>
      <c r="H20" s="31">
        <v>360</v>
      </c>
      <c r="I20" s="32">
        <f t="shared" si="2"/>
        <v>11.25</v>
      </c>
      <c r="J20" s="33">
        <f>346+(U20*3)+O20</f>
        <v>769</v>
      </c>
      <c r="K20" s="34">
        <f t="shared" si="3"/>
        <v>0.46814044213263978</v>
      </c>
      <c r="L20" s="35">
        <v>137</v>
      </c>
      <c r="M20" s="36">
        <v>295</v>
      </c>
      <c r="N20" s="34">
        <f t="shared" si="4"/>
        <v>0.46440677966101696</v>
      </c>
      <c r="O20" s="35">
        <v>57</v>
      </c>
      <c r="P20" s="35">
        <v>43</v>
      </c>
      <c r="Q20" s="37">
        <f>43/57</f>
        <v>0.75438596491228072</v>
      </c>
      <c r="R20" s="38">
        <f t="shared" si="5"/>
        <v>0.19322033898305085</v>
      </c>
      <c r="S20" s="39">
        <f t="shared" si="6"/>
        <v>25.080000000000002</v>
      </c>
      <c r="T20" s="26">
        <v>43</v>
      </c>
      <c r="U20" s="36">
        <v>122</v>
      </c>
      <c r="V20" s="34">
        <f t="shared" si="7"/>
        <v>0.35245901639344263</v>
      </c>
      <c r="W20" s="31">
        <v>99</v>
      </c>
      <c r="X20" s="33">
        <v>49</v>
      </c>
      <c r="Y20" s="40">
        <f t="shared" si="8"/>
        <v>6.1347150259067362</v>
      </c>
      <c r="Z20" s="31">
        <f t="shared" si="9"/>
        <v>353.08</v>
      </c>
      <c r="AA20" s="41">
        <f t="shared" si="10"/>
        <v>11.03375</v>
      </c>
      <c r="AB20" s="42">
        <f t="shared" si="11"/>
        <v>1.0195989577432878</v>
      </c>
      <c r="AC20" s="43">
        <f t="shared" si="12"/>
        <v>0.56235941014746316</v>
      </c>
      <c r="AD20" s="44">
        <f t="shared" si="13"/>
        <v>0.53728813559322031</v>
      </c>
      <c r="AE20" s="45">
        <v>73</v>
      </c>
      <c r="AF20" s="46">
        <v>14</v>
      </c>
      <c r="AG20" s="47">
        <v>31</v>
      </c>
      <c r="AH20" s="26">
        <v>51</v>
      </c>
      <c r="AI20" s="36">
        <v>33</v>
      </c>
      <c r="AJ20" s="48">
        <f t="shared" si="14"/>
        <v>1.5454545454545454</v>
      </c>
    </row>
    <row r="21" spans="1:36" s="23" customFormat="1" ht="24" customHeight="1">
      <c r="A21" s="49">
        <v>14</v>
      </c>
      <c r="B21" s="76" t="s">
        <v>110</v>
      </c>
      <c r="C21" s="51">
        <v>29</v>
      </c>
      <c r="D21" s="52">
        <v>564</v>
      </c>
      <c r="E21" s="53">
        <v>8.5</v>
      </c>
      <c r="F21" s="54">
        <f t="shared" si="0"/>
        <v>5.5724137931034488</v>
      </c>
      <c r="G21" s="55">
        <f t="shared" si="1"/>
        <v>11.460992907801421</v>
      </c>
      <c r="H21" s="56">
        <v>193</v>
      </c>
      <c r="I21" s="57">
        <f t="shared" si="2"/>
        <v>6.6551724137931032</v>
      </c>
      <c r="J21" s="58">
        <f>206+(U21*3)+O21</f>
        <v>390</v>
      </c>
      <c r="K21" s="59">
        <f t="shared" si="3"/>
        <v>0.49487179487179489</v>
      </c>
      <c r="L21" s="60">
        <v>75</v>
      </c>
      <c r="M21" s="61">
        <v>150</v>
      </c>
      <c r="N21" s="59">
        <f t="shared" si="4"/>
        <v>0.5</v>
      </c>
      <c r="O21" s="60">
        <v>43</v>
      </c>
      <c r="P21" s="60">
        <v>28</v>
      </c>
      <c r="Q21" s="62">
        <f>28/43</f>
        <v>0.65116279069767447</v>
      </c>
      <c r="R21" s="63">
        <f t="shared" si="5"/>
        <v>0.28666666666666668</v>
      </c>
      <c r="S21" s="64">
        <f t="shared" si="6"/>
        <v>18.920000000000002</v>
      </c>
      <c r="T21" s="51">
        <v>15</v>
      </c>
      <c r="U21" s="61">
        <v>47</v>
      </c>
      <c r="V21" s="59">
        <f t="shared" si="7"/>
        <v>0.31914893617021278</v>
      </c>
      <c r="W21" s="56">
        <v>73</v>
      </c>
      <c r="X21" s="58">
        <v>44</v>
      </c>
      <c r="Y21" s="65">
        <f t="shared" si="8"/>
        <v>8.2978723404255312</v>
      </c>
      <c r="Z21" s="56">
        <f t="shared" si="9"/>
        <v>194.92000000000002</v>
      </c>
      <c r="AA21" s="66">
        <f t="shared" si="10"/>
        <v>6.7213793103448278</v>
      </c>
      <c r="AB21" s="67">
        <f t="shared" si="11"/>
        <v>0.99014980504822481</v>
      </c>
      <c r="AC21" s="68">
        <f t="shared" si="12"/>
        <v>0.57127634383139947</v>
      </c>
      <c r="AD21" s="69">
        <f t="shared" si="13"/>
        <v>0.55000000000000004</v>
      </c>
      <c r="AE21" s="70">
        <v>43</v>
      </c>
      <c r="AF21" s="71">
        <v>0</v>
      </c>
      <c r="AG21" s="72">
        <v>17</v>
      </c>
      <c r="AH21" s="51">
        <v>33</v>
      </c>
      <c r="AI21" s="61">
        <v>26</v>
      </c>
      <c r="AJ21" s="73">
        <f t="shared" si="14"/>
        <v>1.2692307692307692</v>
      </c>
    </row>
    <row r="22" spans="1:36" s="23" customFormat="1" ht="24" customHeight="1">
      <c r="A22" s="74">
        <v>15</v>
      </c>
      <c r="B22" s="129" t="s">
        <v>111</v>
      </c>
      <c r="C22" s="26">
        <v>23</v>
      </c>
      <c r="D22" s="27">
        <v>580</v>
      </c>
      <c r="E22" s="28">
        <v>10.6</v>
      </c>
      <c r="F22" s="29">
        <f t="shared" si="0"/>
        <v>7.2</v>
      </c>
      <c r="G22" s="30">
        <f t="shared" si="1"/>
        <v>11.420689655172415</v>
      </c>
      <c r="H22" s="31">
        <v>245</v>
      </c>
      <c r="I22" s="32">
        <f t="shared" si="2"/>
        <v>10.652173913043478</v>
      </c>
      <c r="J22" s="33">
        <f>180+(U22*3)+O22</f>
        <v>523</v>
      </c>
      <c r="K22" s="34">
        <f t="shared" si="3"/>
        <v>0.46845124282982792</v>
      </c>
      <c r="L22" s="35">
        <v>85</v>
      </c>
      <c r="M22" s="36">
        <v>183</v>
      </c>
      <c r="N22" s="34">
        <f t="shared" si="4"/>
        <v>0.46448087431693991</v>
      </c>
      <c r="O22" s="35">
        <v>64</v>
      </c>
      <c r="P22" s="35">
        <v>42</v>
      </c>
      <c r="Q22" s="37">
        <f>42/64</f>
        <v>0.65625</v>
      </c>
      <c r="R22" s="38">
        <f t="shared" si="5"/>
        <v>0.34972677595628415</v>
      </c>
      <c r="S22" s="39">
        <f t="shared" si="6"/>
        <v>28.16</v>
      </c>
      <c r="T22" s="26">
        <v>33</v>
      </c>
      <c r="U22" s="36">
        <v>93</v>
      </c>
      <c r="V22" s="34">
        <f t="shared" si="7"/>
        <v>0.35483870967741937</v>
      </c>
      <c r="W22" s="31">
        <v>72</v>
      </c>
      <c r="X22" s="33">
        <v>22</v>
      </c>
      <c r="Y22" s="40">
        <f t="shared" si="8"/>
        <v>6.4827586206896548</v>
      </c>
      <c r="Z22" s="31">
        <f t="shared" si="9"/>
        <v>249.16</v>
      </c>
      <c r="AA22" s="41">
        <f t="shared" si="10"/>
        <v>10.833043478260869</v>
      </c>
      <c r="AB22" s="42">
        <f t="shared" si="11"/>
        <v>0.98330390110772192</v>
      </c>
      <c r="AC22" s="43">
        <f t="shared" si="12"/>
        <v>0.58012881227505209</v>
      </c>
      <c r="AD22" s="44">
        <f t="shared" si="13"/>
        <v>0.55464480874316935</v>
      </c>
      <c r="AE22" s="45">
        <v>43</v>
      </c>
      <c r="AF22" s="46">
        <v>10</v>
      </c>
      <c r="AG22" s="47">
        <v>20</v>
      </c>
      <c r="AH22" s="26">
        <v>21</v>
      </c>
      <c r="AI22" s="36">
        <v>38</v>
      </c>
      <c r="AJ22" s="48">
        <f t="shared" si="14"/>
        <v>0.55263157894736847</v>
      </c>
    </row>
    <row r="23" spans="1:36" s="23" customFormat="1" ht="24" customHeight="1">
      <c r="A23" s="49">
        <v>16</v>
      </c>
      <c r="B23" s="76" t="s">
        <v>112</v>
      </c>
      <c r="C23" s="51">
        <v>12</v>
      </c>
      <c r="D23" s="52">
        <v>382</v>
      </c>
      <c r="E23" s="53">
        <v>10.9</v>
      </c>
      <c r="F23" s="54">
        <f t="shared" si="0"/>
        <v>8.3916666666666639</v>
      </c>
      <c r="G23" s="55">
        <f t="shared" si="1"/>
        <v>10.544502617801044</v>
      </c>
      <c r="H23" s="56">
        <v>161</v>
      </c>
      <c r="I23" s="57">
        <f t="shared" si="2"/>
        <v>13.416666666666666</v>
      </c>
      <c r="J23" s="58">
        <f>136+(U23*3)+O23</f>
        <v>429</v>
      </c>
      <c r="K23" s="59">
        <f t="shared" si="3"/>
        <v>0.3752913752913753</v>
      </c>
      <c r="L23" s="60">
        <v>59</v>
      </c>
      <c r="M23" s="61">
        <v>159</v>
      </c>
      <c r="N23" s="59">
        <f t="shared" si="4"/>
        <v>0.37106918238993708</v>
      </c>
      <c r="O23" s="60">
        <v>20</v>
      </c>
      <c r="P23" s="60">
        <v>15</v>
      </c>
      <c r="Q23" s="62">
        <f>15/20</f>
        <v>0.75</v>
      </c>
      <c r="R23" s="63">
        <f t="shared" si="5"/>
        <v>0.12578616352201258</v>
      </c>
      <c r="S23" s="64">
        <f t="shared" si="6"/>
        <v>8.8000000000000007</v>
      </c>
      <c r="T23" s="51">
        <v>28</v>
      </c>
      <c r="U23" s="61">
        <v>91</v>
      </c>
      <c r="V23" s="59">
        <f t="shared" si="7"/>
        <v>0.30769230769230771</v>
      </c>
      <c r="W23" s="56">
        <v>51</v>
      </c>
      <c r="X23" s="58">
        <v>6</v>
      </c>
      <c r="Y23" s="65">
        <f t="shared" si="8"/>
        <v>5.9685863874345548</v>
      </c>
      <c r="Z23" s="56">
        <f t="shared" si="9"/>
        <v>184.8</v>
      </c>
      <c r="AA23" s="66">
        <f t="shared" si="10"/>
        <v>15.4</v>
      </c>
      <c r="AB23" s="67">
        <f t="shared" si="11"/>
        <v>0.8712121212121211</v>
      </c>
      <c r="AC23" s="68">
        <f t="shared" si="12"/>
        <v>0.47973778307508935</v>
      </c>
      <c r="AD23" s="69">
        <f t="shared" si="13"/>
        <v>0.45911949685534592</v>
      </c>
      <c r="AE23" s="70">
        <v>28</v>
      </c>
      <c r="AF23" s="71">
        <v>1</v>
      </c>
      <c r="AG23" s="72">
        <v>15</v>
      </c>
      <c r="AH23" s="51">
        <v>32</v>
      </c>
      <c r="AI23" s="61">
        <v>17</v>
      </c>
      <c r="AJ23" s="73">
        <f t="shared" si="14"/>
        <v>1.8823529411764706</v>
      </c>
    </row>
    <row r="24" spans="1:36" s="23" customFormat="1" ht="24" customHeight="1">
      <c r="A24" s="74">
        <v>17</v>
      </c>
      <c r="B24" s="129" t="s">
        <v>113</v>
      </c>
      <c r="C24" s="26">
        <v>20</v>
      </c>
      <c r="D24" s="27">
        <v>444</v>
      </c>
      <c r="E24" s="28">
        <v>8.6</v>
      </c>
      <c r="F24" s="29">
        <f t="shared" si="0"/>
        <v>5.55</v>
      </c>
      <c r="G24" s="30">
        <f t="shared" si="1"/>
        <v>10</v>
      </c>
      <c r="H24" s="31">
        <v>170</v>
      </c>
      <c r="I24" s="32">
        <f t="shared" si="2"/>
        <v>8.5</v>
      </c>
      <c r="J24" s="33">
        <f>144+(U24*3)+O24</f>
        <v>350</v>
      </c>
      <c r="K24" s="34">
        <f t="shared" si="3"/>
        <v>0.48571428571428571</v>
      </c>
      <c r="L24" s="35">
        <v>63</v>
      </c>
      <c r="M24" s="36">
        <v>130</v>
      </c>
      <c r="N24" s="34">
        <f t="shared" si="4"/>
        <v>0.48461538461538461</v>
      </c>
      <c r="O24" s="35">
        <v>32</v>
      </c>
      <c r="P24" s="35">
        <v>23</v>
      </c>
      <c r="Q24" s="37">
        <f>23/32</f>
        <v>0.71875</v>
      </c>
      <c r="R24" s="38">
        <f t="shared" si="5"/>
        <v>0.24615384615384617</v>
      </c>
      <c r="S24" s="39">
        <f t="shared" si="6"/>
        <v>14.08</v>
      </c>
      <c r="T24" s="26">
        <v>21</v>
      </c>
      <c r="U24" s="36">
        <v>58</v>
      </c>
      <c r="V24" s="34">
        <f t="shared" si="7"/>
        <v>0.36206896551724138</v>
      </c>
      <c r="W24" s="31">
        <v>37</v>
      </c>
      <c r="X24" s="33">
        <v>12</v>
      </c>
      <c r="Y24" s="40">
        <f t="shared" si="8"/>
        <v>4.4144144144144146</v>
      </c>
      <c r="Z24" s="31">
        <f t="shared" si="9"/>
        <v>175.08</v>
      </c>
      <c r="AA24" s="41">
        <f t="shared" si="10"/>
        <v>8.7540000000000013</v>
      </c>
      <c r="AB24" s="42">
        <f t="shared" si="11"/>
        <v>0.97098469271190302</v>
      </c>
      <c r="AC24" s="43">
        <f t="shared" si="12"/>
        <v>0.58995002776235417</v>
      </c>
      <c r="AD24" s="44">
        <f t="shared" si="13"/>
        <v>0.56538461538461537</v>
      </c>
      <c r="AE24" s="45">
        <v>54</v>
      </c>
      <c r="AF24" s="46">
        <v>2</v>
      </c>
      <c r="AG24" s="47">
        <v>19</v>
      </c>
      <c r="AH24" s="26">
        <v>33</v>
      </c>
      <c r="AI24" s="36">
        <v>31</v>
      </c>
      <c r="AJ24" s="48">
        <f t="shared" si="14"/>
        <v>1.064516129032258</v>
      </c>
    </row>
    <row r="25" spans="1:36" s="23" customFormat="1" ht="24" customHeight="1">
      <c r="A25" s="81">
        <v>18</v>
      </c>
      <c r="B25" s="130" t="s">
        <v>114</v>
      </c>
      <c r="C25" s="51">
        <v>22</v>
      </c>
      <c r="D25" s="52">
        <v>353</v>
      </c>
      <c r="E25" s="53">
        <v>4.9000000000000004</v>
      </c>
      <c r="F25" s="54">
        <f t="shared" si="0"/>
        <v>3.6999999999999997</v>
      </c>
      <c r="G25" s="55">
        <f t="shared" si="1"/>
        <v>9.2237960339943328</v>
      </c>
      <c r="H25" s="56">
        <v>118</v>
      </c>
      <c r="I25" s="57">
        <f t="shared" si="2"/>
        <v>5.3636363636363633</v>
      </c>
      <c r="J25" s="58">
        <f>58+(U25*3)+O25</f>
        <v>290</v>
      </c>
      <c r="K25" s="59">
        <f t="shared" si="3"/>
        <v>0.40689655172413791</v>
      </c>
      <c r="L25" s="60">
        <v>43</v>
      </c>
      <c r="M25" s="61">
        <v>99</v>
      </c>
      <c r="N25" s="59">
        <f t="shared" si="4"/>
        <v>0.43434343434343436</v>
      </c>
      <c r="O25" s="60">
        <v>22</v>
      </c>
      <c r="P25" s="60">
        <v>9</v>
      </c>
      <c r="Q25" s="62">
        <f>9/22</f>
        <v>0.40909090909090912</v>
      </c>
      <c r="R25" s="63">
        <f t="shared" si="5"/>
        <v>0.22222222222222221</v>
      </c>
      <c r="S25" s="64">
        <f t="shared" si="6"/>
        <v>9.68</v>
      </c>
      <c r="T25" s="51">
        <v>24</v>
      </c>
      <c r="U25" s="61">
        <v>70</v>
      </c>
      <c r="V25" s="59">
        <f t="shared" si="7"/>
        <v>0.34285714285714286</v>
      </c>
      <c r="W25" s="56">
        <v>41</v>
      </c>
      <c r="X25" s="58">
        <v>6</v>
      </c>
      <c r="Y25" s="65">
        <f t="shared" si="8"/>
        <v>5.3257790368271953</v>
      </c>
      <c r="Z25" s="56">
        <f t="shared" si="9"/>
        <v>114.68</v>
      </c>
      <c r="AA25" s="66">
        <f t="shared" si="10"/>
        <v>5.2127272727272729</v>
      </c>
      <c r="AB25" s="67">
        <f t="shared" si="11"/>
        <v>1.028950122078828</v>
      </c>
      <c r="AC25" s="68">
        <f t="shared" si="12"/>
        <v>0.54287817445712183</v>
      </c>
      <c r="AD25" s="69">
        <f t="shared" si="13"/>
        <v>0.55555555555555558</v>
      </c>
      <c r="AE25" s="70">
        <v>35</v>
      </c>
      <c r="AF25" s="71">
        <v>0</v>
      </c>
      <c r="AG25" s="72">
        <v>13</v>
      </c>
      <c r="AH25" s="51">
        <v>16</v>
      </c>
      <c r="AI25" s="61">
        <v>6</v>
      </c>
      <c r="AJ25" s="73">
        <f t="shared" si="14"/>
        <v>2.6666666666666665</v>
      </c>
    </row>
    <row r="26" spans="1:36" s="23" customFormat="1" ht="24" customHeight="1">
      <c r="A26" s="74">
        <v>19</v>
      </c>
      <c r="B26" s="129" t="s">
        <v>115</v>
      </c>
      <c r="C26" s="26">
        <v>33</v>
      </c>
      <c r="D26" s="27">
        <v>735</v>
      </c>
      <c r="E26" s="28">
        <v>6.9</v>
      </c>
      <c r="F26" s="29">
        <f t="shared" si="0"/>
        <v>4.9212121212121218</v>
      </c>
      <c r="G26" s="30">
        <f t="shared" si="1"/>
        <v>8.8380952380952387</v>
      </c>
      <c r="H26" s="31">
        <v>234</v>
      </c>
      <c r="I26" s="32">
        <f t="shared" si="2"/>
        <v>7.0909090909090908</v>
      </c>
      <c r="J26" s="33">
        <f>121+(U26*3)+O26</f>
        <v>577</v>
      </c>
      <c r="K26" s="34">
        <f t="shared" si="3"/>
        <v>0.40554592720970539</v>
      </c>
      <c r="L26" s="35">
        <v>84</v>
      </c>
      <c r="M26" s="36">
        <v>202</v>
      </c>
      <c r="N26" s="34">
        <f t="shared" si="4"/>
        <v>0.41584158415841582</v>
      </c>
      <c r="O26" s="35">
        <v>33</v>
      </c>
      <c r="P26" s="35">
        <v>20</v>
      </c>
      <c r="Q26" s="37">
        <f>20/33</f>
        <v>0.60606060606060608</v>
      </c>
      <c r="R26" s="38">
        <f t="shared" si="5"/>
        <v>0.16336633663366337</v>
      </c>
      <c r="S26" s="39">
        <f t="shared" si="6"/>
        <v>14.52</v>
      </c>
      <c r="T26" s="26">
        <v>66</v>
      </c>
      <c r="U26" s="36">
        <v>141</v>
      </c>
      <c r="V26" s="34">
        <f t="shared" si="7"/>
        <v>0.46808510638297873</v>
      </c>
      <c r="W26" s="31">
        <v>97</v>
      </c>
      <c r="X26" s="33">
        <v>23</v>
      </c>
      <c r="Y26" s="40">
        <f t="shared" si="8"/>
        <v>6.5306122448979584</v>
      </c>
      <c r="Z26" s="31">
        <f t="shared" si="9"/>
        <v>245.52</v>
      </c>
      <c r="AA26" s="41">
        <f t="shared" si="10"/>
        <v>7.44</v>
      </c>
      <c r="AB26" s="42">
        <f t="shared" si="11"/>
        <v>0.95307917888563043</v>
      </c>
      <c r="AC26" s="43">
        <f t="shared" si="12"/>
        <v>0.54036578607057084</v>
      </c>
      <c r="AD26" s="44">
        <f t="shared" si="13"/>
        <v>0.57920792079207917</v>
      </c>
      <c r="AE26" s="45">
        <v>58</v>
      </c>
      <c r="AF26" s="46">
        <v>4</v>
      </c>
      <c r="AG26" s="47">
        <v>19</v>
      </c>
      <c r="AH26" s="26">
        <v>38</v>
      </c>
      <c r="AI26" s="36">
        <v>29</v>
      </c>
      <c r="AJ26" s="48">
        <f t="shared" si="14"/>
        <v>1.3103448275862069</v>
      </c>
    </row>
    <row r="27" spans="1:36" s="23" customFormat="1" ht="24" customHeight="1">
      <c r="A27" s="82">
        <v>20</v>
      </c>
      <c r="B27" s="133" t="s">
        <v>116</v>
      </c>
      <c r="C27" s="84">
        <v>22</v>
      </c>
      <c r="D27" s="85">
        <v>616</v>
      </c>
      <c r="E27" s="86">
        <v>8.6</v>
      </c>
      <c r="F27" s="87">
        <f t="shared" si="0"/>
        <v>5.799999999999998</v>
      </c>
      <c r="G27" s="88">
        <f t="shared" si="1"/>
        <v>8.2857142857142829</v>
      </c>
      <c r="H27" s="89">
        <v>120</v>
      </c>
      <c r="I27" s="90">
        <f t="shared" si="2"/>
        <v>5.4545454545454541</v>
      </c>
      <c r="J27" s="91">
        <f>116+(U27*3)+O27</f>
        <v>345</v>
      </c>
      <c r="K27" s="92">
        <f t="shared" si="3"/>
        <v>0.34782608695652173</v>
      </c>
      <c r="L27" s="93">
        <v>44</v>
      </c>
      <c r="M27" s="94">
        <v>130</v>
      </c>
      <c r="N27" s="92">
        <f t="shared" si="4"/>
        <v>0.33846153846153848</v>
      </c>
      <c r="O27" s="93">
        <v>13</v>
      </c>
      <c r="P27" s="93">
        <v>9</v>
      </c>
      <c r="Q27" s="95">
        <f>9/13</f>
        <v>0.69230769230769229</v>
      </c>
      <c r="R27" s="96">
        <f t="shared" si="5"/>
        <v>0.1</v>
      </c>
      <c r="S27" s="97">
        <f t="shared" si="6"/>
        <v>5.72</v>
      </c>
      <c r="T27" s="84">
        <v>23</v>
      </c>
      <c r="U27" s="94">
        <v>72</v>
      </c>
      <c r="V27" s="92">
        <f t="shared" si="7"/>
        <v>0.31944444444444442</v>
      </c>
      <c r="W27" s="89">
        <v>77</v>
      </c>
      <c r="X27" s="91">
        <v>22</v>
      </c>
      <c r="Y27" s="98">
        <f t="shared" si="8"/>
        <v>6.4285714285714288</v>
      </c>
      <c r="Z27" s="89">
        <f t="shared" si="9"/>
        <v>157.72</v>
      </c>
      <c r="AA27" s="99">
        <f t="shared" si="10"/>
        <v>7.169090909090909</v>
      </c>
      <c r="AB27" s="100">
        <f t="shared" si="11"/>
        <v>0.76084199847831602</v>
      </c>
      <c r="AC27" s="101">
        <f t="shared" si="12"/>
        <v>0.44208664898320071</v>
      </c>
      <c r="AD27" s="102">
        <f t="shared" si="13"/>
        <v>0.42692307692307691</v>
      </c>
      <c r="AE27" s="103">
        <v>57</v>
      </c>
      <c r="AF27" s="104">
        <v>5</v>
      </c>
      <c r="AG27" s="105">
        <v>42</v>
      </c>
      <c r="AH27" s="84">
        <v>62</v>
      </c>
      <c r="AI27" s="94">
        <v>22</v>
      </c>
      <c r="AJ27" s="106">
        <f t="shared" si="14"/>
        <v>2.8181818181818183</v>
      </c>
    </row>
    <row r="28" spans="1:36" s="107" customFormat="1" ht="21" customHeight="1">
      <c r="A28" s="255" t="s">
        <v>117</v>
      </c>
      <c r="B28" s="255"/>
      <c r="C28" s="255"/>
      <c r="D28" s="255"/>
      <c r="E28" s="255"/>
      <c r="F28" s="255"/>
      <c r="G28" s="255"/>
      <c r="H28" s="255"/>
      <c r="I28" s="255"/>
      <c r="J28" s="255"/>
      <c r="K28" s="255"/>
      <c r="L28" s="255"/>
      <c r="M28" s="255"/>
      <c r="N28" s="255"/>
      <c r="O28" s="255"/>
      <c r="P28" s="255"/>
      <c r="Q28" s="255"/>
      <c r="R28" s="255"/>
      <c r="S28" s="255"/>
      <c r="T28" s="255"/>
      <c r="U28" s="255"/>
      <c r="V28" s="255"/>
      <c r="W28" s="255"/>
      <c r="X28" s="255"/>
      <c r="Y28" s="255"/>
    </row>
    <row r="29" spans="1:36" s="107" customFormat="1" ht="21" customHeight="1">
      <c r="A29" s="256" t="s">
        <v>72</v>
      </c>
      <c r="B29" s="256"/>
      <c r="C29" s="256"/>
      <c r="D29" s="256"/>
      <c r="E29" s="256"/>
      <c r="F29" s="256"/>
      <c r="G29" s="256"/>
      <c r="H29" s="256"/>
      <c r="I29" s="256"/>
      <c r="J29" s="256"/>
      <c r="K29" s="256"/>
      <c r="L29" s="256"/>
      <c r="M29" s="256"/>
      <c r="N29" s="256"/>
      <c r="O29" s="256"/>
      <c r="P29" s="256"/>
      <c r="Q29" s="256"/>
      <c r="R29" s="256"/>
      <c r="S29" s="256"/>
      <c r="T29" s="256"/>
      <c r="U29" s="256"/>
      <c r="V29" s="256"/>
      <c r="W29" s="256"/>
      <c r="X29" s="256"/>
      <c r="Y29" s="256"/>
    </row>
  </sheetData>
  <mergeCells count="27">
    <mergeCell ref="AE5:AE7"/>
    <mergeCell ref="AE1:AJ4"/>
    <mergeCell ref="D5:D7"/>
    <mergeCell ref="C1:AD2"/>
    <mergeCell ref="C3:AD4"/>
    <mergeCell ref="H5:K5"/>
    <mergeCell ref="L5:N5"/>
    <mergeCell ref="O5:S5"/>
    <mergeCell ref="W5:Y5"/>
    <mergeCell ref="E5:G5"/>
    <mergeCell ref="L6:N6"/>
    <mergeCell ref="A28:Y28"/>
    <mergeCell ref="A29:Y29"/>
    <mergeCell ref="A1:B4"/>
    <mergeCell ref="AF5:AF7"/>
    <mergeCell ref="AH5:AJ5"/>
    <mergeCell ref="C5:C7"/>
    <mergeCell ref="AG5:AG7"/>
    <mergeCell ref="A5:B7"/>
    <mergeCell ref="H6:K6"/>
    <mergeCell ref="Z5:AB5"/>
    <mergeCell ref="AH6:AJ6"/>
    <mergeCell ref="W6:Y6"/>
    <mergeCell ref="O6:S6"/>
    <mergeCell ref="T6:V6"/>
    <mergeCell ref="T5:V5"/>
    <mergeCell ref="E6:G6"/>
  </mergeCells>
  <pageMargins left="0.25" right="0.25" top="0.75" bottom="0.75" header="0.3" footer="0.3"/>
  <pageSetup paperSize="3" fitToWidth="0" fitToHeight="0"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29"/>
  <sheetViews>
    <sheetView tabSelected="1" topLeftCell="J1" workbookViewId="0">
      <selection activeCell="V8" sqref="V8:V27"/>
    </sheetView>
  </sheetViews>
  <sheetFormatPr defaultColWidth="10" defaultRowHeight="15"/>
  <cols>
    <col min="1" max="1" width="3.5703125" customWidth="1"/>
    <col min="2" max="2" width="30.140625" customWidth="1"/>
    <col min="3" max="4" width="4.7109375" customWidth="1"/>
    <col min="5" max="5" width="6" style="1" customWidth="1"/>
    <col min="6" max="6" width="6.7109375" style="1" customWidth="1"/>
    <col min="7" max="7" width="7" style="1" customWidth="1"/>
    <col min="8" max="8" width="4.28515625" style="1" customWidth="1"/>
    <col min="9" max="10" width="5.7109375" style="1" customWidth="1"/>
    <col min="11" max="11" width="6.42578125" style="1" customWidth="1"/>
    <col min="12" max="13" width="4.7109375" style="1" customWidth="1"/>
    <col min="14" max="14" width="6.28515625" style="1" customWidth="1"/>
    <col min="15" max="16" width="4.7109375" style="1" customWidth="1"/>
    <col min="17" max="17" width="6.28515625" style="1" customWidth="1"/>
    <col min="18" max="18" width="8.7109375" style="1" customWidth="1"/>
    <col min="19" max="19" width="5.28515625" style="1" customWidth="1"/>
    <col min="20" max="21" width="4.7109375" style="1" customWidth="1"/>
    <col min="22" max="22" width="6.28515625" style="1" customWidth="1"/>
    <col min="23" max="24" width="5" style="1" customWidth="1"/>
    <col min="25" max="25" width="6.85546875" style="1" customWidth="1"/>
    <col min="26" max="26" width="6" style="1" customWidth="1"/>
    <col min="27" max="27" width="6.85546875" style="1" customWidth="1"/>
    <col min="28" max="28" width="8.5703125" style="1" customWidth="1"/>
    <col min="29" max="29" width="15.7109375" style="1" customWidth="1"/>
    <col min="30" max="30" width="13.7109375" style="1" customWidth="1"/>
    <col min="31" max="33" width="4.140625" style="1" customWidth="1"/>
    <col min="34" max="35" width="5" style="1" customWidth="1"/>
    <col min="36" max="36" width="6.42578125" customWidth="1"/>
  </cols>
  <sheetData>
    <row r="1" spans="1:36" ht="23.25" customHeight="1">
      <c r="A1" s="187"/>
      <c r="B1" s="188"/>
      <c r="C1" s="196" t="s">
        <v>118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96"/>
      <c r="P1" s="196"/>
      <c r="Q1" s="196"/>
      <c r="R1" s="196"/>
      <c r="S1" s="196"/>
      <c r="T1" s="196"/>
      <c r="U1" s="196"/>
      <c r="V1" s="196"/>
      <c r="W1" s="196"/>
      <c r="X1" s="196"/>
      <c r="Y1" s="196"/>
      <c r="Z1" s="196"/>
      <c r="AA1" s="196"/>
      <c r="AB1" s="196"/>
      <c r="AC1" s="196"/>
      <c r="AD1" s="196"/>
      <c r="AE1" s="198"/>
      <c r="AF1" s="198"/>
      <c r="AG1" s="198"/>
      <c r="AH1" s="198"/>
      <c r="AI1" s="198"/>
      <c r="AJ1" s="199"/>
    </row>
    <row r="2" spans="1:36" ht="23.25" customHeight="1">
      <c r="A2" s="189"/>
      <c r="B2" s="190"/>
      <c r="C2" s="197"/>
      <c r="D2" s="197"/>
      <c r="E2" s="197"/>
      <c r="F2" s="197"/>
      <c r="G2" s="197"/>
      <c r="H2" s="197"/>
      <c r="I2" s="197"/>
      <c r="J2" s="197"/>
      <c r="K2" s="197"/>
      <c r="L2" s="197"/>
      <c r="M2" s="197"/>
      <c r="N2" s="197"/>
      <c r="O2" s="197"/>
      <c r="P2" s="197"/>
      <c r="Q2" s="197"/>
      <c r="R2" s="197"/>
      <c r="S2" s="197"/>
      <c r="T2" s="197"/>
      <c r="U2" s="197"/>
      <c r="V2" s="197"/>
      <c r="W2" s="197"/>
      <c r="X2" s="197"/>
      <c r="Y2" s="197"/>
      <c r="Z2" s="197"/>
      <c r="AA2" s="197"/>
      <c r="AB2" s="197"/>
      <c r="AC2" s="197"/>
      <c r="AD2" s="197"/>
      <c r="AE2" s="200"/>
      <c r="AF2" s="200"/>
      <c r="AG2" s="200"/>
      <c r="AH2" s="200"/>
      <c r="AI2" s="200"/>
      <c r="AJ2" s="201"/>
    </row>
    <row r="3" spans="1:36" ht="23.25" customHeight="1">
      <c r="A3" s="189"/>
      <c r="B3" s="190"/>
      <c r="C3" s="208" t="s">
        <v>119</v>
      </c>
      <c r="D3" s="208"/>
      <c r="E3" s="208"/>
      <c r="F3" s="208"/>
      <c r="G3" s="208"/>
      <c r="H3" s="208"/>
      <c r="I3" s="208"/>
      <c r="J3" s="208"/>
      <c r="K3" s="208"/>
      <c r="L3" s="208"/>
      <c r="M3" s="208"/>
      <c r="N3" s="208"/>
      <c r="O3" s="208"/>
      <c r="P3" s="208"/>
      <c r="Q3" s="208"/>
      <c r="R3" s="208"/>
      <c r="S3" s="208"/>
      <c r="T3" s="208"/>
      <c r="U3" s="208"/>
      <c r="V3" s="208"/>
      <c r="W3" s="208"/>
      <c r="X3" s="208"/>
      <c r="Y3" s="208"/>
      <c r="Z3" s="208"/>
      <c r="AA3" s="208"/>
      <c r="AB3" s="208"/>
      <c r="AC3" s="208"/>
      <c r="AD3" s="208"/>
      <c r="AE3" s="200"/>
      <c r="AF3" s="200"/>
      <c r="AG3" s="200"/>
      <c r="AH3" s="200"/>
      <c r="AI3" s="200"/>
      <c r="AJ3" s="201"/>
    </row>
    <row r="4" spans="1:36" ht="22.5" customHeight="1">
      <c r="A4" s="191"/>
      <c r="B4" s="192"/>
      <c r="C4" s="208"/>
      <c r="D4" s="208"/>
      <c r="E4" s="208"/>
      <c r="F4" s="208"/>
      <c r="G4" s="208"/>
      <c r="H4" s="208"/>
      <c r="I4" s="208"/>
      <c r="J4" s="208"/>
      <c r="K4" s="208"/>
      <c r="L4" s="208"/>
      <c r="M4" s="208"/>
      <c r="N4" s="208"/>
      <c r="O4" s="208"/>
      <c r="P4" s="208"/>
      <c r="Q4" s="208"/>
      <c r="R4" s="208"/>
      <c r="S4" s="208"/>
      <c r="T4" s="208"/>
      <c r="U4" s="208"/>
      <c r="V4" s="208"/>
      <c r="W4" s="208"/>
      <c r="X4" s="208"/>
      <c r="Y4" s="208"/>
      <c r="Z4" s="208"/>
      <c r="AA4" s="208"/>
      <c r="AB4" s="208"/>
      <c r="AC4" s="208"/>
      <c r="AD4" s="208"/>
      <c r="AE4" s="202"/>
      <c r="AF4" s="202"/>
      <c r="AG4" s="202"/>
      <c r="AH4" s="202"/>
      <c r="AI4" s="202"/>
      <c r="AJ4" s="203"/>
    </row>
    <row r="5" spans="1:36" ht="14.25" customHeight="1">
      <c r="A5" s="215" t="s">
        <v>2</v>
      </c>
      <c r="B5" s="216"/>
      <c r="C5" s="209" t="s">
        <v>3</v>
      </c>
      <c r="D5" s="186" t="s">
        <v>4</v>
      </c>
      <c r="E5" s="178" t="s">
        <v>5</v>
      </c>
      <c r="F5" s="179"/>
      <c r="G5" s="180"/>
      <c r="H5" s="184" t="s">
        <v>6</v>
      </c>
      <c r="I5" s="185"/>
      <c r="J5" s="185"/>
      <c r="K5" s="186"/>
      <c r="L5" s="179" t="s">
        <v>7</v>
      </c>
      <c r="M5" s="179"/>
      <c r="N5" s="180"/>
      <c r="O5" s="178" t="s">
        <v>8</v>
      </c>
      <c r="P5" s="179"/>
      <c r="Q5" s="179"/>
      <c r="R5" s="179"/>
      <c r="S5" s="180"/>
      <c r="T5" s="178" t="s">
        <v>9</v>
      </c>
      <c r="U5" s="179"/>
      <c r="V5" s="180"/>
      <c r="W5" s="178" t="s">
        <v>10</v>
      </c>
      <c r="X5" s="179"/>
      <c r="Y5" s="180"/>
      <c r="Z5" s="212" t="s">
        <v>11</v>
      </c>
      <c r="AA5" s="213"/>
      <c r="AB5" s="214"/>
      <c r="AC5" s="2" t="s">
        <v>12</v>
      </c>
      <c r="AD5" s="3" t="s">
        <v>13</v>
      </c>
      <c r="AE5" s="180" t="s">
        <v>14</v>
      </c>
      <c r="AF5" s="172" t="s">
        <v>15</v>
      </c>
      <c r="AG5" s="172" t="s">
        <v>16</v>
      </c>
      <c r="AH5" s="184" t="s">
        <v>17</v>
      </c>
      <c r="AI5" s="185"/>
      <c r="AJ5" s="186"/>
    </row>
    <row r="6" spans="1:36" ht="15" customHeight="1">
      <c r="A6" s="217"/>
      <c r="B6" s="218"/>
      <c r="C6" s="210"/>
      <c r="D6" s="206"/>
      <c r="E6" s="175" t="s">
        <v>18</v>
      </c>
      <c r="F6" s="176"/>
      <c r="G6" s="177"/>
      <c r="H6" s="175" t="s">
        <v>19</v>
      </c>
      <c r="I6" s="176"/>
      <c r="J6" s="176"/>
      <c r="K6" s="177"/>
      <c r="L6" s="193" t="s">
        <v>20</v>
      </c>
      <c r="M6" s="194"/>
      <c r="N6" s="195"/>
      <c r="O6" s="181" t="s">
        <v>21</v>
      </c>
      <c r="P6" s="182"/>
      <c r="Q6" s="182"/>
      <c r="R6" s="182"/>
      <c r="S6" s="183"/>
      <c r="T6" s="181" t="s">
        <v>22</v>
      </c>
      <c r="U6" s="182"/>
      <c r="V6" s="183"/>
      <c r="W6" s="181" t="s">
        <v>23</v>
      </c>
      <c r="X6" s="182"/>
      <c r="Y6" s="183"/>
      <c r="Z6" s="4" t="s">
        <v>24</v>
      </c>
      <c r="AA6" s="5" t="s">
        <v>25</v>
      </c>
      <c r="AB6" s="6" t="s">
        <v>26</v>
      </c>
      <c r="AC6" s="7" t="s">
        <v>27</v>
      </c>
      <c r="AD6" s="8" t="s">
        <v>28</v>
      </c>
      <c r="AE6" s="204"/>
      <c r="AF6" s="173"/>
      <c r="AG6" s="173"/>
      <c r="AH6" s="175" t="s">
        <v>29</v>
      </c>
      <c r="AI6" s="176"/>
      <c r="AJ6" s="177"/>
    </row>
    <row r="7" spans="1:36" ht="15" customHeight="1">
      <c r="A7" s="219"/>
      <c r="B7" s="220"/>
      <c r="C7" s="211"/>
      <c r="D7" s="207"/>
      <c r="E7" s="9" t="s">
        <v>30</v>
      </c>
      <c r="F7" s="13" t="s">
        <v>31</v>
      </c>
      <c r="G7" s="11" t="s">
        <v>32</v>
      </c>
      <c r="H7" s="9" t="s">
        <v>33</v>
      </c>
      <c r="I7" s="11" t="s">
        <v>34</v>
      </c>
      <c r="J7" s="10" t="s">
        <v>35</v>
      </c>
      <c r="K7" s="12" t="s">
        <v>36</v>
      </c>
      <c r="L7" s="13" t="s">
        <v>37</v>
      </c>
      <c r="M7" s="10" t="s">
        <v>35</v>
      </c>
      <c r="N7" s="14" t="s">
        <v>36</v>
      </c>
      <c r="O7" s="9" t="s">
        <v>35</v>
      </c>
      <c r="P7" s="13" t="s">
        <v>37</v>
      </c>
      <c r="Q7" s="10" t="s">
        <v>36</v>
      </c>
      <c r="R7" s="15" t="s">
        <v>38</v>
      </c>
      <c r="S7" s="16" t="s">
        <v>39</v>
      </c>
      <c r="T7" s="9" t="s">
        <v>37</v>
      </c>
      <c r="U7" s="10" t="s">
        <v>35</v>
      </c>
      <c r="V7" s="14" t="s">
        <v>36</v>
      </c>
      <c r="W7" s="17" t="s">
        <v>40</v>
      </c>
      <c r="X7" s="18" t="s">
        <v>41</v>
      </c>
      <c r="Y7" s="11" t="s">
        <v>42</v>
      </c>
      <c r="Z7" s="17" t="s">
        <v>43</v>
      </c>
      <c r="AA7" s="19" t="s">
        <v>44</v>
      </c>
      <c r="AB7" s="20" t="s">
        <v>45</v>
      </c>
      <c r="AC7" s="21" t="s">
        <v>46</v>
      </c>
      <c r="AD7" s="22" t="s">
        <v>47</v>
      </c>
      <c r="AE7" s="205"/>
      <c r="AF7" s="174"/>
      <c r="AG7" s="174"/>
      <c r="AH7" s="17" t="s">
        <v>48</v>
      </c>
      <c r="AI7" s="18" t="s">
        <v>49</v>
      </c>
      <c r="AJ7" s="12" t="s">
        <v>50</v>
      </c>
    </row>
    <row r="8" spans="1:36" s="23" customFormat="1" ht="24" customHeight="1">
      <c r="A8" s="24">
        <v>1</v>
      </c>
      <c r="B8" s="129" t="s">
        <v>120</v>
      </c>
      <c r="C8" s="26">
        <v>23</v>
      </c>
      <c r="D8" s="27">
        <v>311</v>
      </c>
      <c r="E8" s="134">
        <v>16.2</v>
      </c>
      <c r="F8" s="135">
        <f t="shared" ref="F8:F27" si="0">(H8+(0.4*L8)-(0.7*M8)-(0.4*(O8-P8))+(0.7*X8)+(0.3*W8)+AG8+(0.7*AH8)+(0.7*AF8)-(0.4*AE8)-AI8)/C8</f>
        <v>9.4521739130434792</v>
      </c>
      <c r="G8" s="136">
        <f t="shared" ref="G8:G27" si="1">F8*40/(D8/C8)</f>
        <v>27.961414790996788</v>
      </c>
      <c r="H8" s="31">
        <v>291</v>
      </c>
      <c r="I8" s="137">
        <f t="shared" ref="I8:I27" si="2">H8/C8</f>
        <v>12.652173913043478</v>
      </c>
      <c r="J8" s="33">
        <f>276+(U8*3)+O8</f>
        <v>713</v>
      </c>
      <c r="K8" s="34">
        <f t="shared" ref="K8:K27" si="3">H8/J8</f>
        <v>0.40813464235624125</v>
      </c>
      <c r="L8" s="35">
        <v>102</v>
      </c>
      <c r="M8" s="36">
        <v>261</v>
      </c>
      <c r="N8" s="34">
        <f t="shared" ref="N8:N27" si="4">L8/M8</f>
        <v>0.39080459770114945</v>
      </c>
      <c r="O8" s="35">
        <v>68</v>
      </c>
      <c r="P8" s="35">
        <v>54</v>
      </c>
      <c r="Q8" s="37">
        <f>54/68</f>
        <v>0.79411764705882348</v>
      </c>
      <c r="R8" s="138">
        <f t="shared" ref="R8:R27" si="5">O8/M8</f>
        <v>0.26053639846743293</v>
      </c>
      <c r="S8" s="39">
        <f t="shared" ref="S8:S27" si="6">O8*0.44</f>
        <v>29.92</v>
      </c>
      <c r="T8" s="26">
        <v>33</v>
      </c>
      <c r="U8" s="36">
        <v>123</v>
      </c>
      <c r="V8" s="34">
        <f t="shared" ref="V8:V15" si="7">T8/U8</f>
        <v>0.26829268292682928</v>
      </c>
      <c r="W8" s="31">
        <v>162</v>
      </c>
      <c r="X8" s="33">
        <v>17</v>
      </c>
      <c r="Y8" s="139">
        <f t="shared" ref="Y8:Y27" si="8">((W8+X8)/D8)*40</f>
        <v>23.022508038585208</v>
      </c>
      <c r="Z8" s="31">
        <f t="shared" ref="Z8:Z27" si="9">M8+S8+AI8</f>
        <v>349.92</v>
      </c>
      <c r="AA8" s="140">
        <f t="shared" ref="AA8:AA27" si="10">Z8/C8</f>
        <v>15.213913043478261</v>
      </c>
      <c r="AB8" s="141">
        <f t="shared" ref="AB8:AB27" si="11">H8/Z8</f>
        <v>0.83161865569272975</v>
      </c>
      <c r="AC8" s="142">
        <f t="shared" ref="AC8:AC27" si="12">H8/(2*(S8+M8))</f>
        <v>0.50013749484394332</v>
      </c>
      <c r="AD8" s="143">
        <f t="shared" ref="AD8:AD27" si="13">((T8*0.5)+L8)/M8</f>
        <v>0.45402298850574713</v>
      </c>
      <c r="AE8" s="45">
        <v>60</v>
      </c>
      <c r="AF8" s="46">
        <v>10</v>
      </c>
      <c r="AG8" s="47">
        <v>25</v>
      </c>
      <c r="AH8" s="26">
        <v>92</v>
      </c>
      <c r="AI8" s="36">
        <v>59</v>
      </c>
      <c r="AJ8" s="144">
        <f t="shared" ref="AJ8:AJ27" si="14">AH8/AI8</f>
        <v>1.5593220338983051</v>
      </c>
    </row>
    <row r="9" spans="1:36" s="23" customFormat="1" ht="24" customHeight="1">
      <c r="A9" s="49">
        <v>2</v>
      </c>
      <c r="B9" s="130" t="s">
        <v>121</v>
      </c>
      <c r="C9" s="51">
        <v>18</v>
      </c>
      <c r="D9" s="52">
        <v>523</v>
      </c>
      <c r="E9" s="145">
        <v>21.7</v>
      </c>
      <c r="F9" s="146">
        <f t="shared" si="0"/>
        <v>14.116666666666667</v>
      </c>
      <c r="G9" s="147">
        <f t="shared" si="1"/>
        <v>19.434034416826005</v>
      </c>
      <c r="H9" s="56">
        <v>246</v>
      </c>
      <c r="I9" s="148">
        <f t="shared" si="2"/>
        <v>13.666666666666666</v>
      </c>
      <c r="J9" s="58">
        <f>324+(U9*3)+O9</f>
        <v>429</v>
      </c>
      <c r="K9" s="59">
        <f t="shared" si="3"/>
        <v>0.57342657342657344</v>
      </c>
      <c r="L9" s="60">
        <v>97</v>
      </c>
      <c r="M9" s="61">
        <v>164</v>
      </c>
      <c r="N9" s="59">
        <f t="shared" si="4"/>
        <v>0.59146341463414631</v>
      </c>
      <c r="O9" s="60">
        <v>90</v>
      </c>
      <c r="P9" s="60">
        <v>52</v>
      </c>
      <c r="Q9" s="62">
        <f>52/90</f>
        <v>0.57777777777777772</v>
      </c>
      <c r="R9" s="149">
        <f t="shared" si="5"/>
        <v>0.54878048780487809</v>
      </c>
      <c r="S9" s="64">
        <f t="shared" si="6"/>
        <v>39.6</v>
      </c>
      <c r="T9" s="51">
        <v>0</v>
      </c>
      <c r="U9" s="61">
        <v>5</v>
      </c>
      <c r="V9" s="59">
        <f t="shared" si="7"/>
        <v>0</v>
      </c>
      <c r="W9" s="56">
        <v>88</v>
      </c>
      <c r="X9" s="58">
        <v>71</v>
      </c>
      <c r="Y9" s="150">
        <f t="shared" si="8"/>
        <v>12.160611854684513</v>
      </c>
      <c r="Z9" s="56">
        <f t="shared" si="9"/>
        <v>231.6</v>
      </c>
      <c r="AA9" s="151">
        <f t="shared" si="10"/>
        <v>12.866666666666667</v>
      </c>
      <c r="AB9" s="152">
        <f t="shared" si="11"/>
        <v>1.0621761658031088</v>
      </c>
      <c r="AC9" s="153">
        <f t="shared" si="12"/>
        <v>0.6041257367387034</v>
      </c>
      <c r="AD9" s="154">
        <f t="shared" si="13"/>
        <v>0.59146341463414631</v>
      </c>
      <c r="AE9" s="70">
        <v>36</v>
      </c>
      <c r="AF9" s="71">
        <v>21</v>
      </c>
      <c r="AG9" s="72">
        <v>25</v>
      </c>
      <c r="AH9" s="51">
        <v>37</v>
      </c>
      <c r="AI9" s="61">
        <v>28</v>
      </c>
      <c r="AJ9" s="155">
        <f t="shared" si="14"/>
        <v>1.3214285714285714</v>
      </c>
    </row>
    <row r="10" spans="1:36" s="23" customFormat="1" ht="24" customHeight="1">
      <c r="A10" s="74">
        <v>3</v>
      </c>
      <c r="B10" s="129" t="s">
        <v>122</v>
      </c>
      <c r="C10" s="26">
        <v>14</v>
      </c>
      <c r="D10" s="27">
        <v>359</v>
      </c>
      <c r="E10" s="134">
        <v>19</v>
      </c>
      <c r="F10" s="135">
        <f t="shared" si="0"/>
        <v>12.178571428571429</v>
      </c>
      <c r="G10" s="136">
        <f t="shared" si="1"/>
        <v>18.997214484679667</v>
      </c>
      <c r="H10" s="31">
        <v>226</v>
      </c>
      <c r="I10" s="137">
        <f t="shared" si="2"/>
        <v>16.142857142857142</v>
      </c>
      <c r="J10" s="33">
        <f>256+(U10*3)+O10</f>
        <v>428</v>
      </c>
      <c r="K10" s="34">
        <f t="shared" si="3"/>
        <v>0.5280373831775701</v>
      </c>
      <c r="L10" s="35">
        <v>78</v>
      </c>
      <c r="M10" s="36">
        <v>160</v>
      </c>
      <c r="N10" s="34">
        <f t="shared" si="4"/>
        <v>0.48749999999999999</v>
      </c>
      <c r="O10" s="35">
        <v>76</v>
      </c>
      <c r="P10" s="35">
        <v>58</v>
      </c>
      <c r="Q10" s="37">
        <f>58/76</f>
        <v>0.76315789473684215</v>
      </c>
      <c r="R10" s="138">
        <f t="shared" si="5"/>
        <v>0.47499999999999998</v>
      </c>
      <c r="S10" s="39">
        <f t="shared" si="6"/>
        <v>33.44</v>
      </c>
      <c r="T10" s="26">
        <v>12</v>
      </c>
      <c r="U10" s="36">
        <v>32</v>
      </c>
      <c r="V10" s="34">
        <f t="shared" si="7"/>
        <v>0.375</v>
      </c>
      <c r="W10" s="31">
        <v>81</v>
      </c>
      <c r="X10" s="33">
        <v>26</v>
      </c>
      <c r="Y10" s="139">
        <f t="shared" si="8"/>
        <v>11.92200557103064</v>
      </c>
      <c r="Z10" s="31">
        <f t="shared" si="9"/>
        <v>224.44</v>
      </c>
      <c r="AA10" s="140">
        <f t="shared" si="10"/>
        <v>16.03142857142857</v>
      </c>
      <c r="AB10" s="141">
        <f t="shared" si="11"/>
        <v>1.0069506326857958</v>
      </c>
      <c r="AC10" s="142">
        <f t="shared" si="12"/>
        <v>0.5841604631927213</v>
      </c>
      <c r="AD10" s="143">
        <f t="shared" si="13"/>
        <v>0.52500000000000002</v>
      </c>
      <c r="AE10" s="45">
        <v>41</v>
      </c>
      <c r="AF10" s="46">
        <v>14</v>
      </c>
      <c r="AG10" s="47">
        <v>15</v>
      </c>
      <c r="AH10" s="26">
        <v>18</v>
      </c>
      <c r="AI10" s="36">
        <v>31</v>
      </c>
      <c r="AJ10" s="144">
        <f t="shared" si="14"/>
        <v>0.58064516129032262</v>
      </c>
    </row>
    <row r="11" spans="1:36" s="23" customFormat="1" ht="24" customHeight="1">
      <c r="A11" s="49">
        <v>4</v>
      </c>
      <c r="B11" s="130" t="s">
        <v>123</v>
      </c>
      <c r="C11" s="51">
        <v>23</v>
      </c>
      <c r="D11" s="52">
        <v>564</v>
      </c>
      <c r="E11" s="145">
        <v>18</v>
      </c>
      <c r="F11" s="146">
        <f t="shared" si="0"/>
        <v>11.173913043478263</v>
      </c>
      <c r="G11" s="147">
        <f t="shared" si="1"/>
        <v>18.226950354609933</v>
      </c>
      <c r="H11" s="56">
        <v>355</v>
      </c>
      <c r="I11" s="148">
        <f t="shared" si="2"/>
        <v>15.434782608695652</v>
      </c>
      <c r="J11" s="58">
        <f>462+(U11*3)+O11</f>
        <v>808</v>
      </c>
      <c r="K11" s="59">
        <f t="shared" si="3"/>
        <v>0.43935643564356436</v>
      </c>
      <c r="L11" s="60">
        <v>120</v>
      </c>
      <c r="M11" s="61">
        <v>257</v>
      </c>
      <c r="N11" s="59">
        <f t="shared" si="4"/>
        <v>0.46692607003891051</v>
      </c>
      <c r="O11" s="60">
        <v>121</v>
      </c>
      <c r="P11" s="60">
        <v>93</v>
      </c>
      <c r="Q11" s="62">
        <f>93/121</f>
        <v>0.76859504132231404</v>
      </c>
      <c r="R11" s="149">
        <f t="shared" si="5"/>
        <v>0.47081712062256809</v>
      </c>
      <c r="S11" s="64">
        <f t="shared" si="6"/>
        <v>53.24</v>
      </c>
      <c r="T11" s="51">
        <v>22</v>
      </c>
      <c r="U11" s="61">
        <v>75</v>
      </c>
      <c r="V11" s="59">
        <f t="shared" si="7"/>
        <v>0.29333333333333333</v>
      </c>
      <c r="W11" s="56">
        <v>87</v>
      </c>
      <c r="X11" s="58">
        <v>39</v>
      </c>
      <c r="Y11" s="150">
        <f t="shared" si="8"/>
        <v>8.9361702127659566</v>
      </c>
      <c r="Z11" s="56">
        <f t="shared" si="9"/>
        <v>352.24</v>
      </c>
      <c r="AA11" s="151">
        <f t="shared" si="10"/>
        <v>15.314782608695653</v>
      </c>
      <c r="AB11" s="152">
        <f t="shared" si="11"/>
        <v>1.0078355666590961</v>
      </c>
      <c r="AC11" s="153">
        <f t="shared" si="12"/>
        <v>0.57213769984528107</v>
      </c>
      <c r="AD11" s="154">
        <f t="shared" si="13"/>
        <v>0.50972762645914393</v>
      </c>
      <c r="AE11" s="70">
        <v>61</v>
      </c>
      <c r="AF11" s="71">
        <v>17</v>
      </c>
      <c r="AG11" s="72">
        <v>14</v>
      </c>
      <c r="AH11" s="51">
        <v>46</v>
      </c>
      <c r="AI11" s="61">
        <v>42</v>
      </c>
      <c r="AJ11" s="155">
        <f t="shared" si="14"/>
        <v>1.0952380952380953</v>
      </c>
    </row>
    <row r="12" spans="1:36" s="23" customFormat="1" ht="24" customHeight="1">
      <c r="A12" s="74">
        <v>5</v>
      </c>
      <c r="B12" s="129" t="s">
        <v>124</v>
      </c>
      <c r="C12" s="26">
        <v>38</v>
      </c>
      <c r="D12" s="27">
        <v>1126</v>
      </c>
      <c r="E12" s="134">
        <v>13.9</v>
      </c>
      <c r="F12" s="135">
        <f t="shared" si="0"/>
        <v>13.205263157894739</v>
      </c>
      <c r="G12" s="136">
        <f t="shared" si="1"/>
        <v>17.825932504440502</v>
      </c>
      <c r="H12" s="31">
        <v>363</v>
      </c>
      <c r="I12" s="137">
        <f t="shared" si="2"/>
        <v>9.5526315789473681</v>
      </c>
      <c r="J12" s="33">
        <f>240+(U12*3)+O12</f>
        <v>810</v>
      </c>
      <c r="K12" s="34">
        <f t="shared" si="3"/>
        <v>0.44814814814814813</v>
      </c>
      <c r="L12" s="35">
        <v>130</v>
      </c>
      <c r="M12" s="36">
        <v>285</v>
      </c>
      <c r="N12" s="34">
        <f t="shared" si="4"/>
        <v>0.45614035087719296</v>
      </c>
      <c r="O12" s="35">
        <v>75</v>
      </c>
      <c r="P12" s="35">
        <v>444</v>
      </c>
      <c r="Q12" s="37">
        <f>44/75</f>
        <v>0.58666666666666667</v>
      </c>
      <c r="R12" s="138">
        <f t="shared" si="5"/>
        <v>0.26315789473684209</v>
      </c>
      <c r="S12" s="39">
        <f t="shared" si="6"/>
        <v>33</v>
      </c>
      <c r="T12" s="26">
        <v>59</v>
      </c>
      <c r="U12" s="36">
        <v>165</v>
      </c>
      <c r="V12" s="34">
        <f t="shared" si="7"/>
        <v>0.3575757575757576</v>
      </c>
      <c r="W12" s="31">
        <v>223</v>
      </c>
      <c r="X12" s="33">
        <v>44</v>
      </c>
      <c r="Y12" s="139">
        <f t="shared" si="8"/>
        <v>9.4849023090586151</v>
      </c>
      <c r="Z12" s="31">
        <f t="shared" si="9"/>
        <v>340</v>
      </c>
      <c r="AA12" s="140">
        <f t="shared" si="10"/>
        <v>8.9473684210526319</v>
      </c>
      <c r="AB12" s="141">
        <f t="shared" si="11"/>
        <v>1.0676470588235294</v>
      </c>
      <c r="AC12" s="142">
        <f t="shared" si="12"/>
        <v>0.57075471698113212</v>
      </c>
      <c r="AD12" s="143">
        <f t="shared" si="13"/>
        <v>0.55964912280701751</v>
      </c>
      <c r="AE12" s="45">
        <v>81</v>
      </c>
      <c r="AF12" s="46">
        <v>30</v>
      </c>
      <c r="AG12" s="47">
        <v>38</v>
      </c>
      <c r="AH12" s="26">
        <v>52</v>
      </c>
      <c r="AI12" s="36">
        <v>22</v>
      </c>
      <c r="AJ12" s="144">
        <f t="shared" si="14"/>
        <v>2.3636363636363638</v>
      </c>
    </row>
    <row r="13" spans="1:36" s="23" customFormat="1" ht="24" customHeight="1">
      <c r="A13" s="49">
        <v>6</v>
      </c>
      <c r="B13" s="130" t="s">
        <v>125</v>
      </c>
      <c r="C13" s="51">
        <v>24</v>
      </c>
      <c r="D13" s="52">
        <v>706</v>
      </c>
      <c r="E13" s="145">
        <v>19.600000000000001</v>
      </c>
      <c r="F13" s="146">
        <f t="shared" si="0"/>
        <v>13.04166666666667</v>
      </c>
      <c r="G13" s="147">
        <f t="shared" si="1"/>
        <v>17.733711048158643</v>
      </c>
      <c r="H13" s="56">
        <v>423</v>
      </c>
      <c r="I13" s="148">
        <f t="shared" si="2"/>
        <v>17.625</v>
      </c>
      <c r="J13" s="58">
        <f>408+(U13*3)+O13</f>
        <v>763</v>
      </c>
      <c r="K13" s="59">
        <f t="shared" si="3"/>
        <v>0.55439056356487548</v>
      </c>
      <c r="L13" s="60">
        <v>152</v>
      </c>
      <c r="M13" s="61">
        <v>288</v>
      </c>
      <c r="N13" s="59">
        <f t="shared" si="4"/>
        <v>0.52777777777777779</v>
      </c>
      <c r="O13" s="60">
        <v>103</v>
      </c>
      <c r="P13" s="60">
        <v>85</v>
      </c>
      <c r="Q13" s="62">
        <f>85/103</f>
        <v>0.82524271844660191</v>
      </c>
      <c r="R13" s="149">
        <f t="shared" si="5"/>
        <v>0.3576388888888889</v>
      </c>
      <c r="S13" s="64">
        <f t="shared" si="6"/>
        <v>45.32</v>
      </c>
      <c r="T13" s="51">
        <v>34</v>
      </c>
      <c r="U13" s="61">
        <v>84</v>
      </c>
      <c r="V13" s="59">
        <f t="shared" si="7"/>
        <v>0.40476190476190477</v>
      </c>
      <c r="W13" s="56">
        <v>122</v>
      </c>
      <c r="X13" s="58">
        <v>36</v>
      </c>
      <c r="Y13" s="150">
        <f t="shared" si="8"/>
        <v>8.9518413597733719</v>
      </c>
      <c r="Z13" s="56">
        <f t="shared" si="9"/>
        <v>397.32</v>
      </c>
      <c r="AA13" s="151">
        <f t="shared" si="10"/>
        <v>16.555</v>
      </c>
      <c r="AB13" s="152">
        <f t="shared" si="11"/>
        <v>1.0646330413772274</v>
      </c>
      <c r="AC13" s="153">
        <f t="shared" si="12"/>
        <v>0.63452538101524059</v>
      </c>
      <c r="AD13" s="154">
        <f t="shared" si="13"/>
        <v>0.58680555555555558</v>
      </c>
      <c r="AE13" s="70">
        <v>62</v>
      </c>
      <c r="AF13" s="71">
        <v>11</v>
      </c>
      <c r="AG13" s="72">
        <v>23</v>
      </c>
      <c r="AH13" s="51">
        <v>49</v>
      </c>
      <c r="AI13" s="61">
        <v>64</v>
      </c>
      <c r="AJ13" s="155">
        <f t="shared" si="14"/>
        <v>0.765625</v>
      </c>
    </row>
    <row r="14" spans="1:36" s="23" customFormat="1" ht="24" customHeight="1">
      <c r="A14" s="74">
        <v>7</v>
      </c>
      <c r="B14" s="129" t="s">
        <v>126</v>
      </c>
      <c r="C14" s="26">
        <v>12</v>
      </c>
      <c r="D14" s="27">
        <v>403</v>
      </c>
      <c r="E14" s="134">
        <v>23.2</v>
      </c>
      <c r="F14" s="135">
        <f t="shared" si="0"/>
        <v>14.524999999999999</v>
      </c>
      <c r="G14" s="136">
        <f t="shared" si="1"/>
        <v>17.300248138957816</v>
      </c>
      <c r="H14" s="31">
        <v>227</v>
      </c>
      <c r="I14" s="137">
        <f t="shared" si="2"/>
        <v>18.916666666666668</v>
      </c>
      <c r="J14" s="33">
        <f>248+(U14*3)+O14</f>
        <v>409</v>
      </c>
      <c r="K14" s="34">
        <f t="shared" si="3"/>
        <v>0.55501222493887525</v>
      </c>
      <c r="L14" s="35">
        <v>83</v>
      </c>
      <c r="M14" s="36">
        <v>155</v>
      </c>
      <c r="N14" s="34">
        <f t="shared" si="4"/>
        <v>0.53548387096774197</v>
      </c>
      <c r="O14" s="35">
        <v>68</v>
      </c>
      <c r="P14" s="35">
        <v>48</v>
      </c>
      <c r="Q14" s="37">
        <f>48/68</f>
        <v>0.70588235294117652</v>
      </c>
      <c r="R14" s="138">
        <f t="shared" si="5"/>
        <v>0.43870967741935485</v>
      </c>
      <c r="S14" s="39">
        <f t="shared" si="6"/>
        <v>29.92</v>
      </c>
      <c r="T14" s="26">
        <v>13</v>
      </c>
      <c r="U14" s="36">
        <v>31</v>
      </c>
      <c r="V14" s="34">
        <f t="shared" si="7"/>
        <v>0.41935483870967744</v>
      </c>
      <c r="W14" s="31">
        <v>93</v>
      </c>
      <c r="X14" s="33">
        <v>25</v>
      </c>
      <c r="Y14" s="139">
        <f t="shared" si="8"/>
        <v>11.712158808933001</v>
      </c>
      <c r="Z14" s="31">
        <f t="shared" si="9"/>
        <v>222.92000000000002</v>
      </c>
      <c r="AA14" s="140">
        <f t="shared" si="10"/>
        <v>18.576666666666668</v>
      </c>
      <c r="AB14" s="141">
        <f t="shared" si="11"/>
        <v>1.0183025300556252</v>
      </c>
      <c r="AC14" s="142">
        <f t="shared" si="12"/>
        <v>0.61377893142980744</v>
      </c>
      <c r="AD14" s="143">
        <f t="shared" si="13"/>
        <v>0.57741935483870965</v>
      </c>
      <c r="AE14" s="45">
        <v>39</v>
      </c>
      <c r="AF14" s="46">
        <v>6</v>
      </c>
      <c r="AG14" s="47">
        <v>15</v>
      </c>
      <c r="AH14" s="26">
        <v>28</v>
      </c>
      <c r="AI14" s="36">
        <v>38</v>
      </c>
      <c r="AJ14" s="144">
        <f t="shared" si="14"/>
        <v>0.73684210526315785</v>
      </c>
    </row>
    <row r="15" spans="1:36" s="23" customFormat="1" ht="24" customHeight="1">
      <c r="A15" s="49">
        <v>8</v>
      </c>
      <c r="B15" s="130" t="s">
        <v>127</v>
      </c>
      <c r="C15" s="51">
        <v>25</v>
      </c>
      <c r="D15" s="52">
        <v>481</v>
      </c>
      <c r="E15" s="145">
        <v>10.4</v>
      </c>
      <c r="F15" s="146">
        <f t="shared" si="0"/>
        <v>7.4600000000000009</v>
      </c>
      <c r="G15" s="147">
        <f t="shared" si="1"/>
        <v>15.509355509355512</v>
      </c>
      <c r="H15" s="56">
        <v>186</v>
      </c>
      <c r="I15" s="148">
        <f t="shared" si="2"/>
        <v>7.44</v>
      </c>
      <c r="J15" s="58">
        <f>254+(U15*3)+O15</f>
        <v>342</v>
      </c>
      <c r="K15" s="59">
        <f t="shared" si="3"/>
        <v>0.54385964912280704</v>
      </c>
      <c r="L15" s="60">
        <v>72</v>
      </c>
      <c r="M15" s="61">
        <v>131</v>
      </c>
      <c r="N15" s="59">
        <f t="shared" si="4"/>
        <v>0.54961832061068705</v>
      </c>
      <c r="O15" s="60">
        <v>76</v>
      </c>
      <c r="P15" s="60">
        <v>42</v>
      </c>
      <c r="Q15" s="62">
        <f>42/76</f>
        <v>0.55263157894736847</v>
      </c>
      <c r="R15" s="149">
        <f t="shared" si="5"/>
        <v>0.58015267175572516</v>
      </c>
      <c r="S15" s="64">
        <f t="shared" si="6"/>
        <v>33.44</v>
      </c>
      <c r="T15" s="51">
        <v>0</v>
      </c>
      <c r="U15" s="61">
        <v>4</v>
      </c>
      <c r="V15" s="59">
        <f t="shared" si="7"/>
        <v>0</v>
      </c>
      <c r="W15" s="56">
        <v>92</v>
      </c>
      <c r="X15" s="58">
        <v>55</v>
      </c>
      <c r="Y15" s="150">
        <f t="shared" si="8"/>
        <v>12.224532224532226</v>
      </c>
      <c r="Z15" s="56">
        <f t="shared" si="9"/>
        <v>190.44</v>
      </c>
      <c r="AA15" s="151">
        <f t="shared" si="10"/>
        <v>7.6175999999999995</v>
      </c>
      <c r="AB15" s="152">
        <f t="shared" si="11"/>
        <v>0.97668557025834912</v>
      </c>
      <c r="AC15" s="153">
        <f t="shared" si="12"/>
        <v>0.56555582583313069</v>
      </c>
      <c r="AD15" s="154">
        <f t="shared" si="13"/>
        <v>0.54961832061068705</v>
      </c>
      <c r="AE15" s="70">
        <v>74</v>
      </c>
      <c r="AF15" s="71">
        <v>34</v>
      </c>
      <c r="AG15" s="72">
        <v>28</v>
      </c>
      <c r="AH15" s="51">
        <v>21</v>
      </c>
      <c r="AI15" s="61">
        <v>26</v>
      </c>
      <c r="AJ15" s="155">
        <f t="shared" si="14"/>
        <v>0.80769230769230771</v>
      </c>
    </row>
    <row r="16" spans="1:36" s="23" customFormat="1" ht="24" customHeight="1">
      <c r="A16" s="74">
        <v>9</v>
      </c>
      <c r="B16" s="129" t="s">
        <v>128</v>
      </c>
      <c r="C16" s="26">
        <v>12</v>
      </c>
      <c r="D16" s="27">
        <v>384</v>
      </c>
      <c r="E16" s="134">
        <v>18.8</v>
      </c>
      <c r="F16" s="135">
        <f t="shared" si="0"/>
        <v>11.5</v>
      </c>
      <c r="G16" s="136">
        <f t="shared" si="1"/>
        <v>14.375</v>
      </c>
      <c r="H16" s="31">
        <v>143</v>
      </c>
      <c r="I16" s="137">
        <f t="shared" si="2"/>
        <v>11.916666666666666</v>
      </c>
      <c r="J16" s="33">
        <f>208+(U16*3)+O16</f>
        <v>261</v>
      </c>
      <c r="K16" s="34">
        <f t="shared" si="3"/>
        <v>0.54789272030651337</v>
      </c>
      <c r="L16" s="35">
        <v>58</v>
      </c>
      <c r="M16" s="36">
        <v>105</v>
      </c>
      <c r="N16" s="34">
        <f t="shared" si="4"/>
        <v>0.55238095238095242</v>
      </c>
      <c r="O16" s="35">
        <v>50</v>
      </c>
      <c r="P16" s="35">
        <v>26</v>
      </c>
      <c r="Q16" s="37">
        <f>26/50</f>
        <v>0.52</v>
      </c>
      <c r="R16" s="138">
        <f t="shared" si="5"/>
        <v>0.47619047619047616</v>
      </c>
      <c r="S16" s="39">
        <f t="shared" si="6"/>
        <v>22</v>
      </c>
      <c r="T16" s="26">
        <v>1</v>
      </c>
      <c r="U16" s="36">
        <v>1</v>
      </c>
      <c r="V16" s="156">
        <v>1</v>
      </c>
      <c r="W16" s="31">
        <v>86</v>
      </c>
      <c r="X16" s="33">
        <v>56</v>
      </c>
      <c r="Y16" s="139">
        <f t="shared" si="8"/>
        <v>14.791666666666668</v>
      </c>
      <c r="Z16" s="31">
        <f t="shared" si="9"/>
        <v>148</v>
      </c>
      <c r="AA16" s="140">
        <f t="shared" si="10"/>
        <v>12.333333333333334</v>
      </c>
      <c r="AB16" s="141">
        <f t="shared" si="11"/>
        <v>0.96621621621621623</v>
      </c>
      <c r="AC16" s="142">
        <f t="shared" si="12"/>
        <v>0.56299212598425197</v>
      </c>
      <c r="AD16" s="143">
        <f t="shared" si="13"/>
        <v>0.55714285714285716</v>
      </c>
      <c r="AE16" s="45">
        <v>25</v>
      </c>
      <c r="AF16" s="46">
        <v>2</v>
      </c>
      <c r="AG16" s="47">
        <v>9</v>
      </c>
      <c r="AH16" s="26">
        <v>15</v>
      </c>
      <c r="AI16" s="36">
        <v>21</v>
      </c>
      <c r="AJ16" s="144">
        <f t="shared" si="14"/>
        <v>0.7142857142857143</v>
      </c>
    </row>
    <row r="17" spans="1:36" s="23" customFormat="1" ht="24" customHeight="1">
      <c r="A17" s="49">
        <v>10</v>
      </c>
      <c r="B17" s="130" t="s">
        <v>129</v>
      </c>
      <c r="C17" s="51">
        <v>15</v>
      </c>
      <c r="D17" s="52">
        <v>359</v>
      </c>
      <c r="E17" s="145">
        <v>11.5</v>
      </c>
      <c r="F17" s="146">
        <f t="shared" si="0"/>
        <v>8.5066666666666659</v>
      </c>
      <c r="G17" s="147">
        <f t="shared" si="1"/>
        <v>14.217270194986071</v>
      </c>
      <c r="H17" s="56">
        <v>211</v>
      </c>
      <c r="I17" s="148">
        <f t="shared" si="2"/>
        <v>14.066666666666666</v>
      </c>
      <c r="J17" s="58">
        <f>180+(U17*3)+O17</f>
        <v>495</v>
      </c>
      <c r="K17" s="59">
        <f t="shared" si="3"/>
        <v>0.42626262626262629</v>
      </c>
      <c r="L17" s="60">
        <v>71</v>
      </c>
      <c r="M17" s="61">
        <v>177</v>
      </c>
      <c r="N17" s="59">
        <f t="shared" si="4"/>
        <v>0.40112994350282488</v>
      </c>
      <c r="O17" s="60">
        <v>54</v>
      </c>
      <c r="P17" s="60">
        <v>42</v>
      </c>
      <c r="Q17" s="62">
        <f>42/54</f>
        <v>0.77777777777777779</v>
      </c>
      <c r="R17" s="149">
        <f t="shared" si="5"/>
        <v>0.30508474576271188</v>
      </c>
      <c r="S17" s="64">
        <f t="shared" si="6"/>
        <v>23.76</v>
      </c>
      <c r="T17" s="51">
        <v>27</v>
      </c>
      <c r="U17" s="61">
        <v>87</v>
      </c>
      <c r="V17" s="59">
        <f t="shared" ref="V17:V27" si="15">T17/U17</f>
        <v>0.31034482758620691</v>
      </c>
      <c r="W17" s="56">
        <v>48</v>
      </c>
      <c r="X17" s="58">
        <v>14</v>
      </c>
      <c r="Y17" s="150">
        <f t="shared" si="8"/>
        <v>6.9080779944289699</v>
      </c>
      <c r="Z17" s="56">
        <f t="shared" si="9"/>
        <v>212.76</v>
      </c>
      <c r="AA17" s="151">
        <f t="shared" si="10"/>
        <v>14.183999999999999</v>
      </c>
      <c r="AB17" s="152">
        <f t="shared" si="11"/>
        <v>0.99172776837751464</v>
      </c>
      <c r="AC17" s="153">
        <f t="shared" si="12"/>
        <v>0.52550308826459458</v>
      </c>
      <c r="AD17" s="154">
        <f t="shared" si="13"/>
        <v>0.47740112994350281</v>
      </c>
      <c r="AE17" s="70">
        <v>39</v>
      </c>
      <c r="AF17" s="71">
        <v>1</v>
      </c>
      <c r="AG17" s="72">
        <v>7</v>
      </c>
      <c r="AH17" s="51">
        <v>18</v>
      </c>
      <c r="AI17" s="61">
        <v>12</v>
      </c>
      <c r="AJ17" s="155">
        <f t="shared" si="14"/>
        <v>1.5</v>
      </c>
    </row>
    <row r="18" spans="1:36" s="23" customFormat="1" ht="24" customHeight="1">
      <c r="A18" s="74">
        <v>11</v>
      </c>
      <c r="B18" s="129" t="s">
        <v>130</v>
      </c>
      <c r="C18" s="26">
        <v>26</v>
      </c>
      <c r="D18" s="27">
        <v>600</v>
      </c>
      <c r="E18" s="134">
        <v>12.3</v>
      </c>
      <c r="F18" s="135">
        <f t="shared" si="0"/>
        <v>8.0846153846153825</v>
      </c>
      <c r="G18" s="136">
        <f t="shared" si="1"/>
        <v>14.01333333333333</v>
      </c>
      <c r="H18" s="31">
        <v>261</v>
      </c>
      <c r="I18" s="137">
        <f t="shared" si="2"/>
        <v>10.038461538461538</v>
      </c>
      <c r="J18" s="33">
        <f>178+(U18*3)+O18</f>
        <v>508</v>
      </c>
      <c r="K18" s="34">
        <f t="shared" si="3"/>
        <v>0.51377952755905509</v>
      </c>
      <c r="L18" s="35">
        <v>93</v>
      </c>
      <c r="M18" s="36">
        <v>174</v>
      </c>
      <c r="N18" s="34">
        <f t="shared" si="4"/>
        <v>0.53448275862068961</v>
      </c>
      <c r="O18" s="35">
        <v>75</v>
      </c>
      <c r="P18" s="35">
        <v>42</v>
      </c>
      <c r="Q18" s="37">
        <f>42/75</f>
        <v>0.56000000000000005</v>
      </c>
      <c r="R18" s="138">
        <f t="shared" si="5"/>
        <v>0.43103448275862066</v>
      </c>
      <c r="S18" s="39">
        <f t="shared" si="6"/>
        <v>33</v>
      </c>
      <c r="T18" s="26">
        <v>33</v>
      </c>
      <c r="U18" s="36">
        <v>85</v>
      </c>
      <c r="V18" s="34">
        <f t="shared" si="15"/>
        <v>0.38823529411764707</v>
      </c>
      <c r="W18" s="31">
        <v>107</v>
      </c>
      <c r="X18" s="33">
        <v>46</v>
      </c>
      <c r="Y18" s="139">
        <f t="shared" si="8"/>
        <v>10.199999999999999</v>
      </c>
      <c r="Z18" s="31">
        <f t="shared" si="9"/>
        <v>243</v>
      </c>
      <c r="AA18" s="140">
        <f t="shared" si="10"/>
        <v>9.3461538461538467</v>
      </c>
      <c r="AB18" s="141">
        <f t="shared" si="11"/>
        <v>1.0740740740740742</v>
      </c>
      <c r="AC18" s="142">
        <f t="shared" si="12"/>
        <v>0.63043478260869568</v>
      </c>
      <c r="AD18" s="143">
        <f t="shared" si="13"/>
        <v>0.62931034482758619</v>
      </c>
      <c r="AE18" s="45">
        <v>61</v>
      </c>
      <c r="AF18" s="46">
        <v>2</v>
      </c>
      <c r="AG18" s="47">
        <v>20</v>
      </c>
      <c r="AH18" s="26">
        <v>31</v>
      </c>
      <c r="AI18" s="36">
        <v>36</v>
      </c>
      <c r="AJ18" s="144">
        <f t="shared" si="14"/>
        <v>0.86111111111111116</v>
      </c>
    </row>
    <row r="19" spans="1:36" s="23" customFormat="1" ht="24" customHeight="1">
      <c r="A19" s="49">
        <v>12</v>
      </c>
      <c r="B19" s="130" t="s">
        <v>131</v>
      </c>
      <c r="C19" s="51">
        <v>13</v>
      </c>
      <c r="D19" s="52">
        <v>337</v>
      </c>
      <c r="E19" s="145">
        <v>14.3</v>
      </c>
      <c r="F19" s="146">
        <f t="shared" si="0"/>
        <v>8.3384615384615373</v>
      </c>
      <c r="G19" s="147">
        <f t="shared" si="1"/>
        <v>12.866468842729969</v>
      </c>
      <c r="H19" s="56">
        <v>167</v>
      </c>
      <c r="I19" s="148">
        <f t="shared" si="2"/>
        <v>12.846153846153847</v>
      </c>
      <c r="J19" s="58">
        <f>144+(U19*3)+O19</f>
        <v>342</v>
      </c>
      <c r="K19" s="59">
        <f t="shared" si="3"/>
        <v>0.48830409356725146</v>
      </c>
      <c r="L19" s="60">
        <v>58</v>
      </c>
      <c r="M19" s="61">
        <v>114</v>
      </c>
      <c r="N19" s="59">
        <f t="shared" si="4"/>
        <v>0.50877192982456143</v>
      </c>
      <c r="O19" s="60">
        <v>72</v>
      </c>
      <c r="P19" s="60">
        <v>47</v>
      </c>
      <c r="Q19" s="62">
        <f>47/72</f>
        <v>0.65277777777777779</v>
      </c>
      <c r="R19" s="149">
        <f t="shared" si="5"/>
        <v>0.63157894736842102</v>
      </c>
      <c r="S19" s="64">
        <f t="shared" si="6"/>
        <v>31.68</v>
      </c>
      <c r="T19" s="51">
        <v>15</v>
      </c>
      <c r="U19" s="61">
        <v>42</v>
      </c>
      <c r="V19" s="59">
        <f t="shared" si="15"/>
        <v>0.35714285714285715</v>
      </c>
      <c r="W19" s="56">
        <v>69</v>
      </c>
      <c r="X19" s="58">
        <v>3</v>
      </c>
      <c r="Y19" s="150">
        <f t="shared" si="8"/>
        <v>8.5459940652818993</v>
      </c>
      <c r="Z19" s="56">
        <f t="shared" si="9"/>
        <v>172.68</v>
      </c>
      <c r="AA19" s="151">
        <f t="shared" si="10"/>
        <v>13.283076923076923</v>
      </c>
      <c r="AB19" s="152">
        <f t="shared" si="11"/>
        <v>0.96710678712068565</v>
      </c>
      <c r="AC19" s="153">
        <f t="shared" si="12"/>
        <v>0.57317408017572757</v>
      </c>
      <c r="AD19" s="154">
        <f t="shared" si="13"/>
        <v>0.57456140350877194</v>
      </c>
      <c r="AE19" s="70">
        <v>26</v>
      </c>
      <c r="AF19" s="71">
        <v>3</v>
      </c>
      <c r="AG19" s="72">
        <v>10</v>
      </c>
      <c r="AH19" s="51">
        <v>15</v>
      </c>
      <c r="AI19" s="61">
        <v>27</v>
      </c>
      <c r="AJ19" s="155">
        <f t="shared" si="14"/>
        <v>0.55555555555555558</v>
      </c>
    </row>
    <row r="20" spans="1:36" s="23" customFormat="1" ht="24" customHeight="1">
      <c r="A20" s="80">
        <v>13</v>
      </c>
      <c r="B20" s="129" t="s">
        <v>132</v>
      </c>
      <c r="C20" s="26">
        <v>20</v>
      </c>
      <c r="D20" s="27">
        <v>422</v>
      </c>
      <c r="E20" s="134">
        <v>10.1</v>
      </c>
      <c r="F20" s="135">
        <f t="shared" si="0"/>
        <v>6.7200000000000006</v>
      </c>
      <c r="G20" s="136">
        <f t="shared" si="1"/>
        <v>12.739336492890995</v>
      </c>
      <c r="H20" s="31">
        <v>147</v>
      </c>
      <c r="I20" s="137">
        <f t="shared" si="2"/>
        <v>7.35</v>
      </c>
      <c r="J20" s="33">
        <f>200+(U20*3)+O20</f>
        <v>288</v>
      </c>
      <c r="K20" s="34">
        <f t="shared" si="3"/>
        <v>0.51041666666666663</v>
      </c>
      <c r="L20" s="35">
        <v>62</v>
      </c>
      <c r="M20" s="36">
        <v>119</v>
      </c>
      <c r="N20" s="34">
        <f t="shared" si="4"/>
        <v>0.52100840336134457</v>
      </c>
      <c r="O20" s="35">
        <v>31</v>
      </c>
      <c r="P20" s="35">
        <v>17</v>
      </c>
      <c r="Q20" s="37">
        <f>17/31</f>
        <v>0.54838709677419351</v>
      </c>
      <c r="R20" s="138">
        <f t="shared" si="5"/>
        <v>0.26050420168067229</v>
      </c>
      <c r="S20" s="39">
        <f t="shared" si="6"/>
        <v>13.64</v>
      </c>
      <c r="T20" s="26">
        <v>6</v>
      </c>
      <c r="U20" s="36">
        <v>19</v>
      </c>
      <c r="V20" s="34">
        <f t="shared" si="15"/>
        <v>0.31578947368421051</v>
      </c>
      <c r="W20" s="31">
        <v>83</v>
      </c>
      <c r="X20" s="33">
        <v>36</v>
      </c>
      <c r="Y20" s="139">
        <f t="shared" si="8"/>
        <v>11.279620853080569</v>
      </c>
      <c r="Z20" s="31">
        <f t="shared" si="9"/>
        <v>163.63999999999999</v>
      </c>
      <c r="AA20" s="140">
        <f t="shared" si="10"/>
        <v>8.1819999999999986</v>
      </c>
      <c r="AB20" s="141">
        <f t="shared" si="11"/>
        <v>0.89831337081398199</v>
      </c>
      <c r="AC20" s="142">
        <f t="shared" si="12"/>
        <v>0.55413148371531973</v>
      </c>
      <c r="AD20" s="143">
        <f t="shared" si="13"/>
        <v>0.54621848739495793</v>
      </c>
      <c r="AE20" s="45">
        <v>29</v>
      </c>
      <c r="AF20" s="46">
        <v>6</v>
      </c>
      <c r="AG20" s="47">
        <v>9</v>
      </c>
      <c r="AH20" s="26">
        <v>44</v>
      </c>
      <c r="AI20" s="36">
        <v>31</v>
      </c>
      <c r="AJ20" s="144">
        <f t="shared" si="14"/>
        <v>1.4193548387096775</v>
      </c>
    </row>
    <row r="21" spans="1:36" s="23" customFormat="1" ht="24" customHeight="1">
      <c r="A21" s="49">
        <v>14</v>
      </c>
      <c r="B21" s="130" t="s">
        <v>133</v>
      </c>
      <c r="C21" s="51">
        <v>18</v>
      </c>
      <c r="D21" s="52">
        <v>522</v>
      </c>
      <c r="E21" s="145">
        <v>11.9</v>
      </c>
      <c r="F21" s="146">
        <f t="shared" si="0"/>
        <v>8.9611111111111121</v>
      </c>
      <c r="G21" s="147">
        <f t="shared" si="1"/>
        <v>12.360153256704981</v>
      </c>
      <c r="H21" s="56">
        <v>287</v>
      </c>
      <c r="I21" s="148">
        <f t="shared" si="2"/>
        <v>15.944444444444445</v>
      </c>
      <c r="J21" s="58">
        <f>222+(U21*3)+O21</f>
        <v>637</v>
      </c>
      <c r="K21" s="59">
        <f t="shared" si="3"/>
        <v>0.45054945054945056</v>
      </c>
      <c r="L21" s="60">
        <v>103</v>
      </c>
      <c r="M21" s="61">
        <v>230</v>
      </c>
      <c r="N21" s="59">
        <f t="shared" si="4"/>
        <v>0.44782608695652176</v>
      </c>
      <c r="O21" s="60">
        <v>58</v>
      </c>
      <c r="P21" s="60">
        <v>43</v>
      </c>
      <c r="Q21" s="62">
        <f>43/58</f>
        <v>0.74137931034482762</v>
      </c>
      <c r="R21" s="149">
        <f t="shared" si="5"/>
        <v>0.25217391304347825</v>
      </c>
      <c r="S21" s="64">
        <f t="shared" si="6"/>
        <v>25.52</v>
      </c>
      <c r="T21" s="51">
        <v>38</v>
      </c>
      <c r="U21" s="61">
        <v>119</v>
      </c>
      <c r="V21" s="59">
        <f t="shared" si="15"/>
        <v>0.31932773109243695</v>
      </c>
      <c r="W21" s="56">
        <v>72</v>
      </c>
      <c r="X21" s="58">
        <v>12</v>
      </c>
      <c r="Y21" s="150">
        <f t="shared" si="8"/>
        <v>6.4367816091954024</v>
      </c>
      <c r="Z21" s="56">
        <f t="shared" si="9"/>
        <v>302.52</v>
      </c>
      <c r="AA21" s="151">
        <f t="shared" si="10"/>
        <v>16.806666666666665</v>
      </c>
      <c r="AB21" s="152">
        <f t="shared" si="11"/>
        <v>0.94869760676980042</v>
      </c>
      <c r="AC21" s="153">
        <f t="shared" si="12"/>
        <v>0.56159987476518469</v>
      </c>
      <c r="AD21" s="154">
        <f t="shared" si="13"/>
        <v>0.5304347826086957</v>
      </c>
      <c r="AE21" s="70">
        <v>53</v>
      </c>
      <c r="AF21" s="71">
        <v>4</v>
      </c>
      <c r="AG21" s="72">
        <v>18</v>
      </c>
      <c r="AH21" s="51">
        <v>25</v>
      </c>
      <c r="AI21" s="61">
        <v>47</v>
      </c>
      <c r="AJ21" s="155">
        <f t="shared" si="14"/>
        <v>0.53191489361702127</v>
      </c>
    </row>
    <row r="22" spans="1:36" s="23" customFormat="1" ht="24" customHeight="1">
      <c r="A22" s="74">
        <v>15</v>
      </c>
      <c r="B22" s="129" t="s">
        <v>134</v>
      </c>
      <c r="C22" s="26">
        <v>30</v>
      </c>
      <c r="D22" s="27">
        <v>596</v>
      </c>
      <c r="E22" s="134">
        <v>8.9</v>
      </c>
      <c r="F22" s="135">
        <f t="shared" si="0"/>
        <v>6.11</v>
      </c>
      <c r="G22" s="136">
        <f t="shared" si="1"/>
        <v>12.302013422818792</v>
      </c>
      <c r="H22" s="31">
        <v>250</v>
      </c>
      <c r="I22" s="137">
        <f t="shared" si="2"/>
        <v>8.3333333333333339</v>
      </c>
      <c r="J22" s="33">
        <f>232+(U22*3)+O22</f>
        <v>528</v>
      </c>
      <c r="K22" s="34">
        <f t="shared" si="3"/>
        <v>0.47348484848484851</v>
      </c>
      <c r="L22" s="35">
        <v>97</v>
      </c>
      <c r="M22" s="36">
        <v>203</v>
      </c>
      <c r="N22" s="34">
        <f t="shared" si="4"/>
        <v>0.47783251231527096</v>
      </c>
      <c r="O22" s="35">
        <v>35</v>
      </c>
      <c r="P22" s="35">
        <v>24</v>
      </c>
      <c r="Q22" s="37">
        <f>24/35</f>
        <v>0.68571428571428572</v>
      </c>
      <c r="R22" s="138">
        <f t="shared" si="5"/>
        <v>0.17241379310344829</v>
      </c>
      <c r="S22" s="39">
        <f t="shared" si="6"/>
        <v>15.4</v>
      </c>
      <c r="T22" s="26">
        <v>32</v>
      </c>
      <c r="U22" s="36">
        <v>87</v>
      </c>
      <c r="V22" s="34">
        <f t="shared" si="15"/>
        <v>0.36781609195402298</v>
      </c>
      <c r="W22" s="31">
        <v>97</v>
      </c>
      <c r="X22" s="33">
        <v>35</v>
      </c>
      <c r="Y22" s="139">
        <f t="shared" si="8"/>
        <v>8.8590604026845643</v>
      </c>
      <c r="Z22" s="31">
        <f t="shared" si="9"/>
        <v>260.39999999999998</v>
      </c>
      <c r="AA22" s="140">
        <f t="shared" si="10"/>
        <v>8.68</v>
      </c>
      <c r="AB22" s="141">
        <f t="shared" si="11"/>
        <v>0.96006144393241177</v>
      </c>
      <c r="AC22" s="142">
        <f t="shared" si="12"/>
        <v>0.57234432234432231</v>
      </c>
      <c r="AD22" s="143">
        <f t="shared" si="13"/>
        <v>0.55665024630541871</v>
      </c>
      <c r="AE22" s="45">
        <v>78</v>
      </c>
      <c r="AF22" s="46">
        <v>9</v>
      </c>
      <c r="AG22" s="47">
        <v>27</v>
      </c>
      <c r="AH22" s="26">
        <v>39</v>
      </c>
      <c r="AI22" s="36">
        <v>42</v>
      </c>
      <c r="AJ22" s="144">
        <f t="shared" si="14"/>
        <v>0.9285714285714286</v>
      </c>
    </row>
    <row r="23" spans="1:36" s="23" customFormat="1" ht="24" customHeight="1">
      <c r="A23" s="49">
        <v>16</v>
      </c>
      <c r="B23" s="130" t="s">
        <v>135</v>
      </c>
      <c r="C23" s="51">
        <v>17</v>
      </c>
      <c r="D23" s="52">
        <v>294</v>
      </c>
      <c r="E23" s="145">
        <v>7.4</v>
      </c>
      <c r="F23" s="146">
        <f t="shared" si="0"/>
        <v>4.8176470588235301</v>
      </c>
      <c r="G23" s="147">
        <f t="shared" si="1"/>
        <v>11.142857142857146</v>
      </c>
      <c r="H23" s="56">
        <v>93</v>
      </c>
      <c r="I23" s="148">
        <f t="shared" si="2"/>
        <v>5.4705882352941178</v>
      </c>
      <c r="J23" s="58">
        <f>122+(U23*3)+O23</f>
        <v>206</v>
      </c>
      <c r="K23" s="59">
        <f t="shared" si="3"/>
        <v>0.45145631067961167</v>
      </c>
      <c r="L23" s="60">
        <v>42</v>
      </c>
      <c r="M23" s="61">
        <v>85</v>
      </c>
      <c r="N23" s="59">
        <f t="shared" si="4"/>
        <v>0.49411764705882355</v>
      </c>
      <c r="O23" s="60">
        <v>12</v>
      </c>
      <c r="P23" s="60">
        <v>4</v>
      </c>
      <c r="Q23" s="62">
        <v>0.33300000000000002</v>
      </c>
      <c r="R23" s="149">
        <f t="shared" si="5"/>
        <v>0.14117647058823529</v>
      </c>
      <c r="S23" s="64">
        <f t="shared" si="6"/>
        <v>5.28</v>
      </c>
      <c r="T23" s="51">
        <v>5</v>
      </c>
      <c r="U23" s="61">
        <v>24</v>
      </c>
      <c r="V23" s="59">
        <f t="shared" si="15"/>
        <v>0.20833333333333334</v>
      </c>
      <c r="W23" s="56">
        <v>54</v>
      </c>
      <c r="X23" s="58">
        <v>22</v>
      </c>
      <c r="Y23" s="150">
        <f t="shared" si="8"/>
        <v>10.34013605442177</v>
      </c>
      <c r="Z23" s="56">
        <f t="shared" si="9"/>
        <v>103.28</v>
      </c>
      <c r="AA23" s="151">
        <f t="shared" si="10"/>
        <v>6.0752941176470587</v>
      </c>
      <c r="AB23" s="152">
        <f t="shared" si="11"/>
        <v>0.90046475600309839</v>
      </c>
      <c r="AC23" s="153">
        <f t="shared" si="12"/>
        <v>0.51506424457244127</v>
      </c>
      <c r="AD23" s="154">
        <f t="shared" si="13"/>
        <v>0.52352941176470591</v>
      </c>
      <c r="AE23" s="70">
        <v>27</v>
      </c>
      <c r="AF23" s="71">
        <v>4</v>
      </c>
      <c r="AG23" s="72">
        <v>13</v>
      </c>
      <c r="AH23" s="51">
        <v>16</v>
      </c>
      <c r="AI23" s="61">
        <v>13</v>
      </c>
      <c r="AJ23" s="155">
        <f t="shared" si="14"/>
        <v>1.2307692307692308</v>
      </c>
    </row>
    <row r="24" spans="1:36" s="23" customFormat="1" ht="24" customHeight="1">
      <c r="A24" s="74">
        <v>17</v>
      </c>
      <c r="B24" s="129" t="s">
        <v>136</v>
      </c>
      <c r="C24" s="26">
        <v>40</v>
      </c>
      <c r="D24" s="27">
        <v>706</v>
      </c>
      <c r="E24" s="134">
        <v>6.7</v>
      </c>
      <c r="F24" s="135">
        <f t="shared" si="0"/>
        <v>4.6925000000000008</v>
      </c>
      <c r="G24" s="136">
        <f t="shared" si="1"/>
        <v>10.634560906515585</v>
      </c>
      <c r="H24" s="31">
        <v>280</v>
      </c>
      <c r="I24" s="137">
        <f t="shared" si="2"/>
        <v>7</v>
      </c>
      <c r="J24" s="33">
        <f>308+(U24*3)+O24</f>
        <v>689</v>
      </c>
      <c r="K24" s="34">
        <f t="shared" si="3"/>
        <v>0.40638606676342526</v>
      </c>
      <c r="L24" s="35">
        <v>107</v>
      </c>
      <c r="M24" s="36">
        <v>260</v>
      </c>
      <c r="N24" s="34">
        <f t="shared" si="4"/>
        <v>0.41153846153846152</v>
      </c>
      <c r="O24" s="35">
        <v>63</v>
      </c>
      <c r="P24" s="35">
        <v>35</v>
      </c>
      <c r="Q24" s="37">
        <f>35/63</f>
        <v>0.55555555555555558</v>
      </c>
      <c r="R24" s="138">
        <f t="shared" si="5"/>
        <v>0.24230769230769231</v>
      </c>
      <c r="S24" s="39">
        <f t="shared" si="6"/>
        <v>27.72</v>
      </c>
      <c r="T24" s="26">
        <v>31</v>
      </c>
      <c r="U24" s="36">
        <v>106</v>
      </c>
      <c r="V24" s="34">
        <f t="shared" si="15"/>
        <v>0.29245283018867924</v>
      </c>
      <c r="W24" s="31">
        <v>97</v>
      </c>
      <c r="X24" s="33">
        <v>26</v>
      </c>
      <c r="Y24" s="139">
        <f t="shared" si="8"/>
        <v>6.9688385269121813</v>
      </c>
      <c r="Z24" s="31">
        <f t="shared" si="9"/>
        <v>335.72</v>
      </c>
      <c r="AA24" s="140">
        <f t="shared" si="10"/>
        <v>8.3930000000000007</v>
      </c>
      <c r="AB24" s="141">
        <f t="shared" si="11"/>
        <v>0.83402835696413669</v>
      </c>
      <c r="AC24" s="142">
        <f t="shared" si="12"/>
        <v>0.48658417906297785</v>
      </c>
      <c r="AD24" s="143">
        <f t="shared" si="13"/>
        <v>0.47115384615384615</v>
      </c>
      <c r="AE24" s="45">
        <v>64</v>
      </c>
      <c r="AF24" s="46">
        <v>12</v>
      </c>
      <c r="AG24" s="47">
        <v>27</v>
      </c>
      <c r="AH24" s="26">
        <v>70</v>
      </c>
      <c r="AI24" s="36">
        <v>48</v>
      </c>
      <c r="AJ24" s="144">
        <f t="shared" si="14"/>
        <v>1.4583333333333333</v>
      </c>
    </row>
    <row r="25" spans="1:36" s="23" customFormat="1" ht="24" customHeight="1">
      <c r="A25" s="81">
        <v>18</v>
      </c>
      <c r="B25" s="130" t="s">
        <v>137</v>
      </c>
      <c r="C25" s="51">
        <v>24</v>
      </c>
      <c r="D25" s="52">
        <v>634</v>
      </c>
      <c r="E25" s="145">
        <v>9.9</v>
      </c>
      <c r="F25" s="146">
        <f t="shared" si="0"/>
        <v>6.7458333333333336</v>
      </c>
      <c r="G25" s="147">
        <f t="shared" si="1"/>
        <v>10.214511041009464</v>
      </c>
      <c r="H25" s="56">
        <v>242</v>
      </c>
      <c r="I25" s="148">
        <f t="shared" si="2"/>
        <v>10.083333333333334</v>
      </c>
      <c r="J25" s="58">
        <f>230+(U25*3)+O25</f>
        <v>556</v>
      </c>
      <c r="K25" s="59">
        <f t="shared" si="3"/>
        <v>0.43525179856115109</v>
      </c>
      <c r="L25" s="60">
        <v>87</v>
      </c>
      <c r="M25" s="61">
        <v>205</v>
      </c>
      <c r="N25" s="59">
        <f t="shared" si="4"/>
        <v>0.42439024390243901</v>
      </c>
      <c r="O25" s="60">
        <v>56</v>
      </c>
      <c r="P25" s="60">
        <v>38</v>
      </c>
      <c r="Q25" s="62">
        <f>38/56</f>
        <v>0.6785714285714286</v>
      </c>
      <c r="R25" s="149">
        <f t="shared" si="5"/>
        <v>0.27317073170731709</v>
      </c>
      <c r="S25" s="64">
        <f t="shared" si="6"/>
        <v>24.64</v>
      </c>
      <c r="T25" s="51">
        <v>30</v>
      </c>
      <c r="U25" s="61">
        <v>90</v>
      </c>
      <c r="V25" s="59">
        <f t="shared" si="15"/>
        <v>0.33333333333333331</v>
      </c>
      <c r="W25" s="56">
        <v>95</v>
      </c>
      <c r="X25" s="58">
        <v>21</v>
      </c>
      <c r="Y25" s="150">
        <f t="shared" si="8"/>
        <v>7.3186119873817033</v>
      </c>
      <c r="Z25" s="56">
        <f t="shared" si="9"/>
        <v>280.64</v>
      </c>
      <c r="AA25" s="151">
        <f t="shared" si="10"/>
        <v>11.693333333333333</v>
      </c>
      <c r="AB25" s="152">
        <f t="shared" si="11"/>
        <v>0.86231470923603193</v>
      </c>
      <c r="AC25" s="153">
        <f t="shared" si="12"/>
        <v>0.52691168785925802</v>
      </c>
      <c r="AD25" s="154">
        <f t="shared" si="13"/>
        <v>0.4975609756097561</v>
      </c>
      <c r="AE25" s="70">
        <v>31</v>
      </c>
      <c r="AF25" s="71">
        <v>10</v>
      </c>
      <c r="AG25" s="72">
        <v>28</v>
      </c>
      <c r="AH25" s="51">
        <v>30</v>
      </c>
      <c r="AI25" s="61">
        <v>51</v>
      </c>
      <c r="AJ25" s="155">
        <f t="shared" si="14"/>
        <v>0.58823529411764708</v>
      </c>
    </row>
    <row r="26" spans="1:36" s="23" customFormat="1" ht="24" customHeight="1">
      <c r="A26" s="74">
        <v>19</v>
      </c>
      <c r="B26" s="129" t="s">
        <v>138</v>
      </c>
      <c r="C26" s="26">
        <v>11</v>
      </c>
      <c r="D26" s="27">
        <v>346</v>
      </c>
      <c r="E26" s="134">
        <v>12.5</v>
      </c>
      <c r="F26" s="135">
        <f t="shared" si="0"/>
        <v>7.7454545454545469</v>
      </c>
      <c r="G26" s="136">
        <f t="shared" si="1"/>
        <v>9.8497109826589622</v>
      </c>
      <c r="H26" s="31">
        <v>142</v>
      </c>
      <c r="I26" s="137">
        <f t="shared" si="2"/>
        <v>12.909090909090908</v>
      </c>
      <c r="J26" s="33">
        <f>146+(U26*3)+O26</f>
        <v>320</v>
      </c>
      <c r="K26" s="34">
        <f t="shared" si="3"/>
        <v>0.44374999999999998</v>
      </c>
      <c r="L26" s="35">
        <v>51</v>
      </c>
      <c r="M26" s="36">
        <v>117</v>
      </c>
      <c r="N26" s="34">
        <f t="shared" si="4"/>
        <v>0.4358974358974359</v>
      </c>
      <c r="O26" s="35">
        <v>42</v>
      </c>
      <c r="P26" s="35">
        <v>25</v>
      </c>
      <c r="Q26" s="37">
        <f>25/42</f>
        <v>0.59523809523809523</v>
      </c>
      <c r="R26" s="138">
        <f t="shared" si="5"/>
        <v>0.35897435897435898</v>
      </c>
      <c r="S26" s="39">
        <f t="shared" si="6"/>
        <v>18.48</v>
      </c>
      <c r="T26" s="26">
        <v>15</v>
      </c>
      <c r="U26" s="36">
        <v>44</v>
      </c>
      <c r="V26" s="34">
        <f t="shared" si="15"/>
        <v>0.34090909090909088</v>
      </c>
      <c r="W26" s="31">
        <v>52</v>
      </c>
      <c r="X26" s="33">
        <v>14</v>
      </c>
      <c r="Y26" s="139">
        <f t="shared" si="8"/>
        <v>7.6300578034682074</v>
      </c>
      <c r="Z26" s="31">
        <f t="shared" si="9"/>
        <v>158.47999999999999</v>
      </c>
      <c r="AA26" s="140">
        <f t="shared" si="10"/>
        <v>14.407272727272726</v>
      </c>
      <c r="AB26" s="141">
        <f t="shared" si="11"/>
        <v>0.89601211509338718</v>
      </c>
      <c r="AC26" s="142">
        <f t="shared" si="12"/>
        <v>0.52406259226454088</v>
      </c>
      <c r="AD26" s="143">
        <f t="shared" si="13"/>
        <v>0.5</v>
      </c>
      <c r="AE26" s="45">
        <v>18</v>
      </c>
      <c r="AF26" s="46">
        <v>2</v>
      </c>
      <c r="AG26" s="47">
        <v>10</v>
      </c>
      <c r="AH26" s="26">
        <v>7</v>
      </c>
      <c r="AI26" s="36">
        <v>23</v>
      </c>
      <c r="AJ26" s="144">
        <f t="shared" si="14"/>
        <v>0.30434782608695654</v>
      </c>
    </row>
    <row r="27" spans="1:36" s="23" customFormat="1" ht="24" customHeight="1">
      <c r="A27" s="82">
        <v>20</v>
      </c>
      <c r="B27" s="83" t="s">
        <v>139</v>
      </c>
      <c r="C27" s="84">
        <v>21</v>
      </c>
      <c r="D27" s="85">
        <v>604</v>
      </c>
      <c r="E27" s="157">
        <v>9.1</v>
      </c>
      <c r="F27" s="158">
        <f t="shared" si="0"/>
        <v>5.6190476190476186</v>
      </c>
      <c r="G27" s="159">
        <f t="shared" si="1"/>
        <v>7.814569536423841</v>
      </c>
      <c r="H27" s="89">
        <v>224</v>
      </c>
      <c r="I27" s="160">
        <f t="shared" si="2"/>
        <v>10.666666666666666</v>
      </c>
      <c r="J27" s="91">
        <f>208+(U27*3)+O27</f>
        <v>551</v>
      </c>
      <c r="K27" s="92">
        <f t="shared" si="3"/>
        <v>0.40653357531760437</v>
      </c>
      <c r="L27" s="93">
        <v>78</v>
      </c>
      <c r="M27" s="94">
        <v>194</v>
      </c>
      <c r="N27" s="92">
        <f t="shared" si="4"/>
        <v>0.40206185567010311</v>
      </c>
      <c r="O27" s="93">
        <v>88</v>
      </c>
      <c r="P27" s="93">
        <v>45</v>
      </c>
      <c r="Q27" s="95">
        <f>45/88</f>
        <v>0.51136363636363635</v>
      </c>
      <c r="R27" s="161">
        <f t="shared" si="5"/>
        <v>0.45360824742268041</v>
      </c>
      <c r="S27" s="97">
        <f t="shared" si="6"/>
        <v>38.72</v>
      </c>
      <c r="T27" s="84">
        <v>27</v>
      </c>
      <c r="U27" s="94">
        <v>85</v>
      </c>
      <c r="V27" s="92">
        <f t="shared" si="15"/>
        <v>0.31764705882352939</v>
      </c>
      <c r="W27" s="89">
        <v>53</v>
      </c>
      <c r="X27" s="91">
        <v>19</v>
      </c>
      <c r="Y27" s="162">
        <f t="shared" si="8"/>
        <v>4.7682119205298008</v>
      </c>
      <c r="Z27" s="89">
        <f t="shared" si="9"/>
        <v>281.72000000000003</v>
      </c>
      <c r="AA27" s="163">
        <f t="shared" si="10"/>
        <v>13.415238095238097</v>
      </c>
      <c r="AB27" s="164">
        <f t="shared" si="11"/>
        <v>0.79511571773392009</v>
      </c>
      <c r="AC27" s="165">
        <f t="shared" si="12"/>
        <v>0.48126503953248539</v>
      </c>
      <c r="AD27" s="166">
        <f t="shared" si="13"/>
        <v>0.47164948453608246</v>
      </c>
      <c r="AE27" s="103">
        <v>42</v>
      </c>
      <c r="AF27" s="104">
        <v>4</v>
      </c>
      <c r="AG27" s="105">
        <v>16</v>
      </c>
      <c r="AH27" s="84">
        <v>48</v>
      </c>
      <c r="AI27" s="94">
        <v>49</v>
      </c>
      <c r="AJ27" s="167">
        <f t="shared" si="14"/>
        <v>0.97959183673469385</v>
      </c>
    </row>
    <row r="28" spans="1:36" s="107" customFormat="1" ht="21" customHeight="1">
      <c r="A28" s="255" t="s">
        <v>117</v>
      </c>
      <c r="B28" s="255"/>
      <c r="C28" s="255"/>
      <c r="D28" s="255"/>
      <c r="E28" s="255"/>
      <c r="F28" s="255"/>
      <c r="G28" s="255"/>
      <c r="H28" s="255"/>
      <c r="I28" s="255"/>
      <c r="J28" s="255"/>
      <c r="K28" s="255"/>
      <c r="L28" s="255"/>
      <c r="M28" s="255"/>
      <c r="N28" s="255"/>
      <c r="O28" s="255"/>
      <c r="P28" s="255"/>
      <c r="Q28" s="255"/>
      <c r="R28" s="255"/>
      <c r="S28" s="255"/>
      <c r="T28" s="255"/>
      <c r="U28" s="255"/>
      <c r="V28" s="255"/>
      <c r="W28" s="255"/>
      <c r="X28" s="255"/>
      <c r="Y28" s="255"/>
    </row>
    <row r="29" spans="1:36" s="107" customFormat="1" ht="21" customHeight="1">
      <c r="A29" s="256" t="s">
        <v>72</v>
      </c>
      <c r="B29" s="256"/>
      <c r="C29" s="256"/>
      <c r="D29" s="256"/>
      <c r="E29" s="256"/>
      <c r="F29" s="256"/>
      <c r="G29" s="256"/>
      <c r="H29" s="256"/>
      <c r="I29" s="256"/>
      <c r="J29" s="256"/>
      <c r="K29" s="256"/>
      <c r="L29" s="256"/>
      <c r="M29" s="256"/>
      <c r="N29" s="256"/>
      <c r="O29" s="256"/>
      <c r="P29" s="256"/>
      <c r="Q29" s="256"/>
      <c r="R29" s="256"/>
      <c r="S29" s="256"/>
      <c r="T29" s="256"/>
      <c r="U29" s="256"/>
      <c r="V29" s="256"/>
      <c r="W29" s="256"/>
      <c r="X29" s="256"/>
      <c r="Y29" s="256"/>
    </row>
  </sheetData>
  <mergeCells count="27">
    <mergeCell ref="AG5:AG7"/>
    <mergeCell ref="AE1:AJ4"/>
    <mergeCell ref="H6:K6"/>
    <mergeCell ref="AE5:AE7"/>
    <mergeCell ref="C3:AD4"/>
    <mergeCell ref="H5:K5"/>
    <mergeCell ref="L5:N5"/>
    <mergeCell ref="O5:S5"/>
    <mergeCell ref="W5:Y5"/>
    <mergeCell ref="E5:G5"/>
    <mergeCell ref="E6:G6"/>
    <mergeCell ref="A5:B7"/>
    <mergeCell ref="A29:Y29"/>
    <mergeCell ref="A1:B4"/>
    <mergeCell ref="AF5:AF7"/>
    <mergeCell ref="AH5:AJ5"/>
    <mergeCell ref="C5:C7"/>
    <mergeCell ref="C1:AD2"/>
    <mergeCell ref="AH6:AJ6"/>
    <mergeCell ref="D5:D7"/>
    <mergeCell ref="Z5:AB5"/>
    <mergeCell ref="T6:V6"/>
    <mergeCell ref="W6:Y6"/>
    <mergeCell ref="T5:V5"/>
    <mergeCell ref="L6:N6"/>
    <mergeCell ref="O6:S6"/>
    <mergeCell ref="A28:Y28"/>
  </mergeCells>
  <pageMargins left="0.25" right="0.25" top="0.75" bottom="0.75" header="0.3" footer="0.3"/>
  <pageSetup paperSize="3" fitToWidth="0" fitToHeight="0"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J29"/>
  <sheetViews>
    <sheetView workbookViewId="0">
      <selection activeCell="AK11" sqref="AK11"/>
    </sheetView>
  </sheetViews>
  <sheetFormatPr defaultColWidth="10" defaultRowHeight="15"/>
  <cols>
    <col min="1" max="1" width="3.85546875" customWidth="1"/>
    <col min="2" max="2" width="30.140625" customWidth="1"/>
    <col min="3" max="4" width="4.7109375" customWidth="1"/>
    <col min="5" max="5" width="6" style="1" customWidth="1"/>
    <col min="6" max="6" width="6.7109375" style="1" customWidth="1"/>
    <col min="7" max="7" width="6.85546875" style="1" customWidth="1"/>
    <col min="8" max="8" width="4.28515625" style="1" customWidth="1"/>
    <col min="9" max="10" width="5.7109375" style="1" customWidth="1"/>
    <col min="11" max="11" width="6.7109375" style="1" customWidth="1"/>
    <col min="12" max="13" width="4.7109375" style="1" customWidth="1"/>
    <col min="14" max="14" width="6.28515625" style="1" customWidth="1"/>
    <col min="15" max="16" width="4.7109375" style="1" customWidth="1"/>
    <col min="17" max="17" width="6.5703125" style="1" customWidth="1"/>
    <col min="18" max="18" width="8.5703125" style="1" customWidth="1"/>
    <col min="19" max="19" width="5.28515625" style="1" customWidth="1"/>
    <col min="20" max="21" width="4.7109375" style="1" customWidth="1"/>
    <col min="22" max="22" width="6.42578125" style="1" customWidth="1"/>
    <col min="23" max="24" width="5" style="1" customWidth="1"/>
    <col min="25" max="25" width="6.85546875" style="1" customWidth="1"/>
    <col min="26" max="26" width="6" style="1" customWidth="1"/>
    <col min="27" max="27" width="7" style="1" customWidth="1"/>
    <col min="28" max="28" width="8.5703125" style="1" customWidth="1"/>
    <col min="29" max="29" width="15.7109375" style="1" customWidth="1"/>
    <col min="30" max="30" width="13.7109375" style="1" customWidth="1"/>
    <col min="31" max="33" width="4.140625" style="1" customWidth="1"/>
    <col min="34" max="35" width="5" style="1" customWidth="1"/>
    <col min="36" max="36" width="6.42578125" customWidth="1"/>
  </cols>
  <sheetData>
    <row r="1" spans="1:36" ht="23.25" customHeight="1">
      <c r="A1" s="187"/>
      <c r="B1" s="188"/>
      <c r="C1" s="196" t="s">
        <v>140</v>
      </c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96"/>
      <c r="P1" s="196"/>
      <c r="Q1" s="196"/>
      <c r="R1" s="196"/>
      <c r="S1" s="196"/>
      <c r="T1" s="196"/>
      <c r="U1" s="196"/>
      <c r="V1" s="196"/>
      <c r="W1" s="196"/>
      <c r="X1" s="196"/>
      <c r="Y1" s="196"/>
      <c r="Z1" s="196"/>
      <c r="AA1" s="196"/>
      <c r="AB1" s="196"/>
      <c r="AC1" s="196"/>
      <c r="AD1" s="196"/>
      <c r="AE1" s="198"/>
      <c r="AF1" s="198"/>
      <c r="AG1" s="198"/>
      <c r="AH1" s="198"/>
      <c r="AI1" s="198"/>
      <c r="AJ1" s="199"/>
    </row>
    <row r="2" spans="1:36" ht="23.25" customHeight="1">
      <c r="A2" s="189"/>
      <c r="B2" s="190"/>
      <c r="C2" s="197"/>
      <c r="D2" s="197"/>
      <c r="E2" s="197"/>
      <c r="F2" s="197"/>
      <c r="G2" s="197"/>
      <c r="H2" s="197"/>
      <c r="I2" s="197"/>
      <c r="J2" s="197"/>
      <c r="K2" s="197"/>
      <c r="L2" s="197"/>
      <c r="M2" s="197"/>
      <c r="N2" s="197"/>
      <c r="O2" s="197"/>
      <c r="P2" s="197"/>
      <c r="Q2" s="197"/>
      <c r="R2" s="197"/>
      <c r="S2" s="197"/>
      <c r="T2" s="197"/>
      <c r="U2" s="197"/>
      <c r="V2" s="197"/>
      <c r="W2" s="197"/>
      <c r="X2" s="197"/>
      <c r="Y2" s="197"/>
      <c r="Z2" s="197"/>
      <c r="AA2" s="197"/>
      <c r="AB2" s="197"/>
      <c r="AC2" s="197"/>
      <c r="AD2" s="197"/>
      <c r="AE2" s="200"/>
      <c r="AF2" s="200"/>
      <c r="AG2" s="200"/>
      <c r="AH2" s="200"/>
      <c r="AI2" s="200"/>
      <c r="AJ2" s="201"/>
    </row>
    <row r="3" spans="1:36" ht="23.25" customHeight="1">
      <c r="A3" s="189"/>
      <c r="B3" s="190"/>
      <c r="C3" s="208" t="s">
        <v>141</v>
      </c>
      <c r="D3" s="208"/>
      <c r="E3" s="208"/>
      <c r="F3" s="208"/>
      <c r="G3" s="208"/>
      <c r="H3" s="208"/>
      <c r="I3" s="208"/>
      <c r="J3" s="208"/>
      <c r="K3" s="208"/>
      <c r="L3" s="208"/>
      <c r="M3" s="208"/>
      <c r="N3" s="208"/>
      <c r="O3" s="208"/>
      <c r="P3" s="208"/>
      <c r="Q3" s="208"/>
      <c r="R3" s="208"/>
      <c r="S3" s="208"/>
      <c r="T3" s="208"/>
      <c r="U3" s="208"/>
      <c r="V3" s="208"/>
      <c r="W3" s="208"/>
      <c r="X3" s="208"/>
      <c r="Y3" s="208"/>
      <c r="Z3" s="208"/>
      <c r="AA3" s="208"/>
      <c r="AB3" s="208"/>
      <c r="AC3" s="208"/>
      <c r="AD3" s="208"/>
      <c r="AE3" s="200"/>
      <c r="AF3" s="200"/>
      <c r="AG3" s="200"/>
      <c r="AH3" s="200"/>
      <c r="AI3" s="200"/>
      <c r="AJ3" s="201"/>
    </row>
    <row r="4" spans="1:36" ht="23.25" customHeight="1">
      <c r="A4" s="191"/>
      <c r="B4" s="192"/>
      <c r="C4" s="208"/>
      <c r="D4" s="208"/>
      <c r="E4" s="208"/>
      <c r="F4" s="208"/>
      <c r="G4" s="208"/>
      <c r="H4" s="208"/>
      <c r="I4" s="208"/>
      <c r="J4" s="208"/>
      <c r="K4" s="208"/>
      <c r="L4" s="208"/>
      <c r="M4" s="208"/>
      <c r="N4" s="208"/>
      <c r="O4" s="208"/>
      <c r="P4" s="208"/>
      <c r="Q4" s="208"/>
      <c r="R4" s="208"/>
      <c r="S4" s="208"/>
      <c r="T4" s="208"/>
      <c r="U4" s="208"/>
      <c r="V4" s="208"/>
      <c r="W4" s="208"/>
      <c r="X4" s="208"/>
      <c r="Y4" s="208"/>
      <c r="Z4" s="208"/>
      <c r="AA4" s="208"/>
      <c r="AB4" s="208"/>
      <c r="AC4" s="208"/>
      <c r="AD4" s="208"/>
      <c r="AE4" s="202"/>
      <c r="AF4" s="202"/>
      <c r="AG4" s="202"/>
      <c r="AH4" s="202"/>
      <c r="AI4" s="202"/>
      <c r="AJ4" s="203"/>
    </row>
    <row r="5" spans="1:36" ht="14.25" customHeight="1">
      <c r="A5" s="257" t="s">
        <v>2</v>
      </c>
      <c r="B5" s="258"/>
      <c r="C5" s="264" t="s">
        <v>3</v>
      </c>
      <c r="D5" s="232" t="s">
        <v>4</v>
      </c>
      <c r="E5" s="254" t="s">
        <v>5</v>
      </c>
      <c r="F5" s="253"/>
      <c r="G5" s="248"/>
      <c r="H5" s="230" t="s">
        <v>6</v>
      </c>
      <c r="I5" s="231"/>
      <c r="J5" s="231"/>
      <c r="K5" s="232"/>
      <c r="L5" s="253" t="s">
        <v>7</v>
      </c>
      <c r="M5" s="253"/>
      <c r="N5" s="248"/>
      <c r="O5" s="254" t="s">
        <v>8</v>
      </c>
      <c r="P5" s="253"/>
      <c r="Q5" s="253"/>
      <c r="R5" s="253"/>
      <c r="S5" s="248"/>
      <c r="T5" s="254" t="s">
        <v>9</v>
      </c>
      <c r="U5" s="253"/>
      <c r="V5" s="248"/>
      <c r="W5" s="254" t="s">
        <v>10</v>
      </c>
      <c r="X5" s="253"/>
      <c r="Y5" s="248"/>
      <c r="Z5" s="242" t="s">
        <v>11</v>
      </c>
      <c r="AA5" s="243"/>
      <c r="AB5" s="244"/>
      <c r="AC5" s="108" t="s">
        <v>12</v>
      </c>
      <c r="AD5" s="109" t="s">
        <v>13</v>
      </c>
      <c r="AE5" s="248" t="s">
        <v>14</v>
      </c>
      <c r="AF5" s="227" t="s">
        <v>15</v>
      </c>
      <c r="AG5" s="227" t="s">
        <v>16</v>
      </c>
      <c r="AH5" s="230" t="s">
        <v>17</v>
      </c>
      <c r="AI5" s="231"/>
      <c r="AJ5" s="232"/>
    </row>
    <row r="6" spans="1:36" ht="15" customHeight="1">
      <c r="A6" s="259"/>
      <c r="B6" s="260"/>
      <c r="C6" s="265"/>
      <c r="D6" s="251"/>
      <c r="E6" s="239" t="s">
        <v>18</v>
      </c>
      <c r="F6" s="240"/>
      <c r="G6" s="241"/>
      <c r="H6" s="239" t="s">
        <v>19</v>
      </c>
      <c r="I6" s="240"/>
      <c r="J6" s="240"/>
      <c r="K6" s="241"/>
      <c r="L6" s="236" t="s">
        <v>20</v>
      </c>
      <c r="M6" s="237"/>
      <c r="N6" s="238"/>
      <c r="O6" s="245" t="s">
        <v>21</v>
      </c>
      <c r="P6" s="246"/>
      <c r="Q6" s="246"/>
      <c r="R6" s="246"/>
      <c r="S6" s="247"/>
      <c r="T6" s="245" t="s">
        <v>22</v>
      </c>
      <c r="U6" s="246"/>
      <c r="V6" s="247"/>
      <c r="W6" s="245" t="s">
        <v>23</v>
      </c>
      <c r="X6" s="246"/>
      <c r="Y6" s="247"/>
      <c r="Z6" s="110" t="s">
        <v>24</v>
      </c>
      <c r="AA6" s="111" t="s">
        <v>25</v>
      </c>
      <c r="AB6" s="112" t="s">
        <v>26</v>
      </c>
      <c r="AC6" s="168" t="s">
        <v>27</v>
      </c>
      <c r="AD6" s="114" t="s">
        <v>28</v>
      </c>
      <c r="AE6" s="249"/>
      <c r="AF6" s="228"/>
      <c r="AG6" s="228"/>
      <c r="AH6" s="239" t="s">
        <v>29</v>
      </c>
      <c r="AI6" s="240"/>
      <c r="AJ6" s="241"/>
    </row>
    <row r="7" spans="1:36" ht="15" customHeight="1">
      <c r="A7" s="261"/>
      <c r="B7" s="262"/>
      <c r="C7" s="266"/>
      <c r="D7" s="252"/>
      <c r="E7" s="115" t="s">
        <v>30</v>
      </c>
      <c r="F7" s="116" t="s">
        <v>31</v>
      </c>
      <c r="G7" s="117" t="s">
        <v>32</v>
      </c>
      <c r="H7" s="115" t="s">
        <v>33</v>
      </c>
      <c r="I7" s="117" t="s">
        <v>34</v>
      </c>
      <c r="J7" s="116" t="s">
        <v>35</v>
      </c>
      <c r="K7" s="118" t="s">
        <v>36</v>
      </c>
      <c r="L7" s="119" t="s">
        <v>37</v>
      </c>
      <c r="M7" s="116" t="s">
        <v>35</v>
      </c>
      <c r="N7" s="120" t="s">
        <v>36</v>
      </c>
      <c r="O7" s="115" t="s">
        <v>35</v>
      </c>
      <c r="P7" s="119" t="s">
        <v>37</v>
      </c>
      <c r="Q7" s="116" t="s">
        <v>36</v>
      </c>
      <c r="R7" s="121" t="s">
        <v>38</v>
      </c>
      <c r="S7" s="122" t="s">
        <v>39</v>
      </c>
      <c r="T7" s="115" t="s">
        <v>37</v>
      </c>
      <c r="U7" s="116" t="s">
        <v>35</v>
      </c>
      <c r="V7" s="120" t="s">
        <v>36</v>
      </c>
      <c r="W7" s="123" t="s">
        <v>40</v>
      </c>
      <c r="X7" s="124" t="s">
        <v>41</v>
      </c>
      <c r="Y7" s="117" t="s">
        <v>42</v>
      </c>
      <c r="Z7" s="123" t="s">
        <v>43</v>
      </c>
      <c r="AA7" s="125" t="s">
        <v>44</v>
      </c>
      <c r="AB7" s="126" t="s">
        <v>45</v>
      </c>
      <c r="AC7" s="127" t="s">
        <v>46</v>
      </c>
      <c r="AD7" s="128" t="s">
        <v>47</v>
      </c>
      <c r="AE7" s="250"/>
      <c r="AF7" s="229"/>
      <c r="AG7" s="229"/>
      <c r="AH7" s="123" t="s">
        <v>48</v>
      </c>
      <c r="AI7" s="124" t="s">
        <v>49</v>
      </c>
      <c r="AJ7" s="118" t="s">
        <v>50</v>
      </c>
    </row>
    <row r="8" spans="1:36" s="23" customFormat="1" ht="24" customHeight="1">
      <c r="A8" s="24">
        <v>1</v>
      </c>
      <c r="B8" s="129" t="s">
        <v>142</v>
      </c>
      <c r="C8" s="26">
        <v>17</v>
      </c>
      <c r="D8" s="27">
        <v>477</v>
      </c>
      <c r="E8" s="134">
        <v>19</v>
      </c>
      <c r="F8" s="135">
        <f t="shared" ref="F8:F27" si="0">(H8+(0.4*L8)-(0.7*M8)-(0.4*(O8-P8))+(0.7*X8)+(0.3*W8)+AG8+(0.7*AH8)+(0.7*AF8)-(0.4*AE8)-AI8)/C8</f>
        <v>12.270588235294117</v>
      </c>
      <c r="G8" s="136">
        <f t="shared" ref="G8:G27" si="1">F8*40/(D8/C8)</f>
        <v>17.492662473794546</v>
      </c>
      <c r="H8" s="31">
        <v>206</v>
      </c>
      <c r="I8" s="137">
        <f t="shared" ref="I8:I27" si="2">H8/C8</f>
        <v>12.117647058823529</v>
      </c>
      <c r="J8" s="33">
        <f>228+(U8*3)+O8</f>
        <v>381</v>
      </c>
      <c r="K8" s="34">
        <f t="shared" ref="K8:K27" si="3">H8/J8</f>
        <v>0.54068241469816269</v>
      </c>
      <c r="L8" s="35">
        <v>79</v>
      </c>
      <c r="M8" s="36">
        <v>149</v>
      </c>
      <c r="N8" s="34">
        <f t="shared" ref="N8:N27" si="4">L8/M8</f>
        <v>0.53020134228187921</v>
      </c>
      <c r="O8" s="35">
        <v>48</v>
      </c>
      <c r="P8" s="35">
        <v>38</v>
      </c>
      <c r="Q8" s="37">
        <f>38/48</f>
        <v>0.79166666666666663</v>
      </c>
      <c r="R8" s="138">
        <f t="shared" ref="R8:R27" si="5">O8/M8</f>
        <v>0.32214765100671139</v>
      </c>
      <c r="S8" s="39">
        <f t="shared" ref="S8:S27" si="6">O8*0.44</f>
        <v>21.12</v>
      </c>
      <c r="T8" s="26">
        <v>10</v>
      </c>
      <c r="U8" s="36">
        <v>35</v>
      </c>
      <c r="V8" s="34">
        <f t="shared" ref="V8:V15" si="7">T8/U8</f>
        <v>0.2857142857142857</v>
      </c>
      <c r="W8" s="31">
        <v>99</v>
      </c>
      <c r="X8" s="33">
        <v>44</v>
      </c>
      <c r="Y8" s="139">
        <f t="shared" ref="Y8:Y27" si="8">((W8+X8)/D8)*40</f>
        <v>11.991614255765199</v>
      </c>
      <c r="Z8" s="31">
        <f t="shared" ref="Z8:Z27" si="9">M8+S8+AI8</f>
        <v>191.12</v>
      </c>
      <c r="AA8" s="140">
        <f t="shared" ref="AA8:AA27" si="10">Z8/C8</f>
        <v>11.24235294117647</v>
      </c>
      <c r="AB8" s="141">
        <f t="shared" ref="AB8:AB27" si="11">H8/Z8</f>
        <v>1.077856843867727</v>
      </c>
      <c r="AC8" s="142">
        <f t="shared" ref="AC8:AC27" si="12">H8/(2*(S8+M8))</f>
        <v>0.60545497296026329</v>
      </c>
      <c r="AD8" s="143">
        <f t="shared" ref="AD8:AD27" si="13">((T8*0.5)+L8)/M8</f>
        <v>0.56375838926174493</v>
      </c>
      <c r="AE8" s="45">
        <v>42</v>
      </c>
      <c r="AF8" s="46">
        <v>27</v>
      </c>
      <c r="AG8" s="47">
        <v>9</v>
      </c>
      <c r="AH8" s="26">
        <v>41</v>
      </c>
      <c r="AI8" s="36">
        <v>21</v>
      </c>
      <c r="AJ8" s="144">
        <f t="shared" ref="AJ8:AJ27" si="14">AH8/AI8</f>
        <v>1.9523809523809523</v>
      </c>
    </row>
    <row r="9" spans="1:36" s="23" customFormat="1" ht="24" customHeight="1">
      <c r="A9" s="49">
        <v>2</v>
      </c>
      <c r="B9" s="130" t="s">
        <v>143</v>
      </c>
      <c r="C9" s="51">
        <v>35</v>
      </c>
      <c r="D9" s="52">
        <v>1051</v>
      </c>
      <c r="E9" s="145">
        <v>19.899999999999999</v>
      </c>
      <c r="F9" s="146">
        <f t="shared" si="0"/>
        <v>12.894285714285713</v>
      </c>
      <c r="G9" s="147">
        <f t="shared" si="1"/>
        <v>17.176022835394861</v>
      </c>
      <c r="H9" s="56">
        <v>544</v>
      </c>
      <c r="I9" s="148">
        <f t="shared" si="2"/>
        <v>15.542857142857143</v>
      </c>
      <c r="J9" s="58">
        <f>790+(U9*3)+O9</f>
        <v>1073</v>
      </c>
      <c r="K9" s="59">
        <f t="shared" si="3"/>
        <v>0.50698974836905875</v>
      </c>
      <c r="L9" s="60">
        <v>231</v>
      </c>
      <c r="M9" s="61">
        <v>433</v>
      </c>
      <c r="N9" s="59">
        <f t="shared" si="4"/>
        <v>0.53348729792147809</v>
      </c>
      <c r="O9" s="60">
        <v>169</v>
      </c>
      <c r="P9" s="60">
        <v>75</v>
      </c>
      <c r="Q9" s="62">
        <f>75/169</f>
        <v>0.4437869822485207</v>
      </c>
      <c r="R9" s="149">
        <f t="shared" si="5"/>
        <v>0.39030023094688221</v>
      </c>
      <c r="S9" s="64">
        <f t="shared" si="6"/>
        <v>74.36</v>
      </c>
      <c r="T9" s="51">
        <v>7</v>
      </c>
      <c r="U9" s="61">
        <v>38</v>
      </c>
      <c r="V9" s="59">
        <f t="shared" si="7"/>
        <v>0.18421052631578946</v>
      </c>
      <c r="W9" s="56">
        <v>189</v>
      </c>
      <c r="X9" s="58">
        <v>148</v>
      </c>
      <c r="Y9" s="150">
        <f t="shared" si="8"/>
        <v>12.825880114176975</v>
      </c>
      <c r="Z9" s="56">
        <f t="shared" si="9"/>
        <v>588.36</v>
      </c>
      <c r="AA9" s="151">
        <f t="shared" si="10"/>
        <v>16.810285714285715</v>
      </c>
      <c r="AB9" s="152">
        <f t="shared" si="11"/>
        <v>0.92460398395540144</v>
      </c>
      <c r="AC9" s="153">
        <f t="shared" si="12"/>
        <v>0.53610848312835069</v>
      </c>
      <c r="AD9" s="154">
        <f t="shared" si="13"/>
        <v>0.54157043879907618</v>
      </c>
      <c r="AE9" s="70">
        <v>103</v>
      </c>
      <c r="AF9" s="71">
        <v>15</v>
      </c>
      <c r="AG9" s="72">
        <v>51</v>
      </c>
      <c r="AH9" s="51">
        <v>80</v>
      </c>
      <c r="AI9" s="61">
        <v>81</v>
      </c>
      <c r="AJ9" s="155">
        <f t="shared" si="14"/>
        <v>0.98765432098765427</v>
      </c>
    </row>
    <row r="10" spans="1:36" s="23" customFormat="1" ht="24" customHeight="1">
      <c r="A10" s="74">
        <v>3</v>
      </c>
      <c r="B10" s="129" t="s">
        <v>144</v>
      </c>
      <c r="C10" s="26">
        <v>26</v>
      </c>
      <c r="D10" s="27">
        <v>770</v>
      </c>
      <c r="E10" s="134">
        <v>18.600000000000001</v>
      </c>
      <c r="F10" s="135">
        <f t="shared" si="0"/>
        <v>12.546153846153846</v>
      </c>
      <c r="G10" s="136">
        <f t="shared" si="1"/>
        <v>16.945454545454542</v>
      </c>
      <c r="H10" s="31">
        <v>450</v>
      </c>
      <c r="I10" s="137">
        <f t="shared" si="2"/>
        <v>17.307692307692307</v>
      </c>
      <c r="J10" s="33">
        <f>556+(U10*3)+O10</f>
        <v>855</v>
      </c>
      <c r="K10" s="34">
        <f t="shared" si="3"/>
        <v>0.52631578947368418</v>
      </c>
      <c r="L10" s="35">
        <v>171</v>
      </c>
      <c r="M10" s="36">
        <v>343</v>
      </c>
      <c r="N10" s="34">
        <f t="shared" si="4"/>
        <v>0.49854227405247814</v>
      </c>
      <c r="O10" s="35">
        <v>104</v>
      </c>
      <c r="P10" s="35">
        <v>79</v>
      </c>
      <c r="Q10" s="37">
        <f>79/104</f>
        <v>0.75961538461538458</v>
      </c>
      <c r="R10" s="138">
        <f t="shared" si="5"/>
        <v>0.30320699708454812</v>
      </c>
      <c r="S10" s="39">
        <f t="shared" si="6"/>
        <v>45.76</v>
      </c>
      <c r="T10" s="26">
        <v>26</v>
      </c>
      <c r="U10" s="36">
        <v>65</v>
      </c>
      <c r="V10" s="34">
        <f t="shared" si="7"/>
        <v>0.4</v>
      </c>
      <c r="W10" s="31">
        <v>140</v>
      </c>
      <c r="X10" s="33">
        <v>51</v>
      </c>
      <c r="Y10" s="139">
        <f t="shared" si="8"/>
        <v>9.9220779220779214</v>
      </c>
      <c r="Z10" s="31">
        <f t="shared" si="9"/>
        <v>443.76</v>
      </c>
      <c r="AA10" s="140">
        <f t="shared" si="10"/>
        <v>17.067692307692308</v>
      </c>
      <c r="AB10" s="141">
        <f t="shared" si="11"/>
        <v>1.014061654948621</v>
      </c>
      <c r="AC10" s="142">
        <f t="shared" si="12"/>
        <v>0.57876324724765926</v>
      </c>
      <c r="AD10" s="143">
        <f t="shared" si="13"/>
        <v>0.53644314868804666</v>
      </c>
      <c r="AE10" s="45">
        <v>76</v>
      </c>
      <c r="AF10" s="46">
        <v>25</v>
      </c>
      <c r="AG10" s="47">
        <v>25</v>
      </c>
      <c r="AH10" s="26">
        <v>33</v>
      </c>
      <c r="AI10" s="36">
        <v>55</v>
      </c>
      <c r="AJ10" s="144">
        <f t="shared" si="14"/>
        <v>0.6</v>
      </c>
    </row>
    <row r="11" spans="1:36" s="23" customFormat="1" ht="24" customHeight="1">
      <c r="A11" s="49">
        <v>4</v>
      </c>
      <c r="B11" s="130" t="s">
        <v>145</v>
      </c>
      <c r="C11" s="51">
        <v>27</v>
      </c>
      <c r="D11" s="52">
        <v>748</v>
      </c>
      <c r="E11" s="145">
        <v>19.600000000000001</v>
      </c>
      <c r="F11" s="146">
        <f t="shared" si="0"/>
        <v>11.125925925925925</v>
      </c>
      <c r="G11" s="147">
        <f t="shared" si="1"/>
        <v>16.064171122994651</v>
      </c>
      <c r="H11" s="56">
        <v>361</v>
      </c>
      <c r="I11" s="148">
        <f t="shared" si="2"/>
        <v>13.37037037037037</v>
      </c>
      <c r="J11" s="58">
        <f>402+(U11*3)+O11</f>
        <v>723</v>
      </c>
      <c r="K11" s="59">
        <f t="shared" si="3"/>
        <v>0.49930843706777317</v>
      </c>
      <c r="L11" s="60">
        <v>132</v>
      </c>
      <c r="M11" s="61">
        <v>272</v>
      </c>
      <c r="N11" s="59">
        <f t="shared" si="4"/>
        <v>0.48529411764705882</v>
      </c>
      <c r="O11" s="60">
        <v>108</v>
      </c>
      <c r="P11" s="60">
        <v>71</v>
      </c>
      <c r="Q11" s="62">
        <f>71/108</f>
        <v>0.65740740740740744</v>
      </c>
      <c r="R11" s="149">
        <f t="shared" si="5"/>
        <v>0.39705882352941174</v>
      </c>
      <c r="S11" s="64">
        <f t="shared" si="6"/>
        <v>47.52</v>
      </c>
      <c r="T11" s="51">
        <v>26</v>
      </c>
      <c r="U11" s="61">
        <v>71</v>
      </c>
      <c r="V11" s="59">
        <f t="shared" si="7"/>
        <v>0.36619718309859156</v>
      </c>
      <c r="W11" s="56">
        <v>248</v>
      </c>
      <c r="X11" s="58">
        <v>71</v>
      </c>
      <c r="Y11" s="150">
        <f t="shared" si="8"/>
        <v>17.058823529411764</v>
      </c>
      <c r="Z11" s="56">
        <f t="shared" si="9"/>
        <v>382.52</v>
      </c>
      <c r="AA11" s="151">
        <f t="shared" si="10"/>
        <v>14.167407407407406</v>
      </c>
      <c r="AB11" s="152">
        <f t="shared" si="11"/>
        <v>0.94374150371222421</v>
      </c>
      <c r="AC11" s="153">
        <f t="shared" si="12"/>
        <v>0.56490986479719585</v>
      </c>
      <c r="AD11" s="154">
        <f t="shared" si="13"/>
        <v>0.53308823529411764</v>
      </c>
      <c r="AE11" s="70">
        <v>90</v>
      </c>
      <c r="AF11" s="71">
        <v>39</v>
      </c>
      <c r="AG11" s="72">
        <v>17</v>
      </c>
      <c r="AH11" s="51">
        <v>32</v>
      </c>
      <c r="AI11" s="61">
        <v>63</v>
      </c>
      <c r="AJ11" s="155">
        <f t="shared" si="14"/>
        <v>0.50793650793650791</v>
      </c>
    </row>
    <row r="12" spans="1:36" s="23" customFormat="1" ht="24" customHeight="1">
      <c r="A12" s="74">
        <v>5</v>
      </c>
      <c r="B12" s="129" t="s">
        <v>146</v>
      </c>
      <c r="C12" s="26">
        <v>18</v>
      </c>
      <c r="D12" s="27">
        <v>535</v>
      </c>
      <c r="E12" s="134">
        <v>17.7</v>
      </c>
      <c r="F12" s="135">
        <f t="shared" si="0"/>
        <v>11.522222222222222</v>
      </c>
      <c r="G12" s="136">
        <f t="shared" si="1"/>
        <v>15.506542056074768</v>
      </c>
      <c r="H12" s="31">
        <v>287</v>
      </c>
      <c r="I12" s="137">
        <f t="shared" si="2"/>
        <v>15.944444444444445</v>
      </c>
      <c r="J12" s="33">
        <f>266+(U12*3)+O12</f>
        <v>582</v>
      </c>
      <c r="K12" s="34">
        <f t="shared" si="3"/>
        <v>0.49312714776632305</v>
      </c>
      <c r="L12" s="35">
        <v>100</v>
      </c>
      <c r="M12" s="36">
        <v>212</v>
      </c>
      <c r="N12" s="34">
        <f t="shared" si="4"/>
        <v>0.47169811320754718</v>
      </c>
      <c r="O12" s="35">
        <v>79</v>
      </c>
      <c r="P12" s="35">
        <v>58</v>
      </c>
      <c r="Q12" s="37">
        <f>58/79</f>
        <v>0.73417721518987344</v>
      </c>
      <c r="R12" s="138">
        <f t="shared" si="5"/>
        <v>0.37264150943396224</v>
      </c>
      <c r="S12" s="39">
        <f t="shared" si="6"/>
        <v>34.76</v>
      </c>
      <c r="T12" s="26">
        <v>29</v>
      </c>
      <c r="U12" s="36">
        <v>79</v>
      </c>
      <c r="V12" s="34">
        <f t="shared" si="7"/>
        <v>0.36708860759493672</v>
      </c>
      <c r="W12" s="31">
        <v>79</v>
      </c>
      <c r="X12" s="33">
        <v>20</v>
      </c>
      <c r="Y12" s="139">
        <f t="shared" si="8"/>
        <v>7.4018691588785046</v>
      </c>
      <c r="Z12" s="31">
        <f t="shared" si="9"/>
        <v>278.76</v>
      </c>
      <c r="AA12" s="140">
        <f t="shared" si="10"/>
        <v>15.486666666666666</v>
      </c>
      <c r="AB12" s="141">
        <f t="shared" si="11"/>
        <v>1.0295594776868993</v>
      </c>
      <c r="AC12" s="142">
        <f t="shared" si="12"/>
        <v>0.58153671583725075</v>
      </c>
      <c r="AD12" s="143">
        <f t="shared" si="13"/>
        <v>0.54009433962264153</v>
      </c>
      <c r="AE12" s="45">
        <v>28</v>
      </c>
      <c r="AF12" s="46">
        <v>3</v>
      </c>
      <c r="AG12" s="47">
        <v>21</v>
      </c>
      <c r="AH12" s="26">
        <v>28</v>
      </c>
      <c r="AI12" s="36">
        <v>32</v>
      </c>
      <c r="AJ12" s="144">
        <f t="shared" si="14"/>
        <v>0.875</v>
      </c>
    </row>
    <row r="13" spans="1:36" s="23" customFormat="1" ht="24" customHeight="1">
      <c r="A13" s="49">
        <v>6</v>
      </c>
      <c r="B13" s="130" t="s">
        <v>147</v>
      </c>
      <c r="C13" s="51">
        <v>14</v>
      </c>
      <c r="D13" s="52">
        <v>409</v>
      </c>
      <c r="E13" s="145">
        <v>18.100000000000001</v>
      </c>
      <c r="F13" s="146">
        <f t="shared" si="0"/>
        <v>11.321428571428571</v>
      </c>
      <c r="G13" s="147">
        <f t="shared" si="1"/>
        <v>15.501222493887528</v>
      </c>
      <c r="H13" s="56">
        <v>248</v>
      </c>
      <c r="I13" s="148">
        <f t="shared" si="2"/>
        <v>17.714285714285715</v>
      </c>
      <c r="J13" s="58">
        <f>366+(U13*3)+O13</f>
        <v>535</v>
      </c>
      <c r="K13" s="59">
        <f t="shared" si="3"/>
        <v>0.46355140186915889</v>
      </c>
      <c r="L13" s="60">
        <v>100</v>
      </c>
      <c r="M13" s="61">
        <v>207</v>
      </c>
      <c r="N13" s="59">
        <f t="shared" si="4"/>
        <v>0.48309178743961351</v>
      </c>
      <c r="O13" s="60">
        <v>97</v>
      </c>
      <c r="P13" s="60">
        <v>43</v>
      </c>
      <c r="Q13" s="62">
        <f>43/97</f>
        <v>0.44329896907216493</v>
      </c>
      <c r="R13" s="149">
        <f t="shared" si="5"/>
        <v>0.46859903381642515</v>
      </c>
      <c r="S13" s="64">
        <f t="shared" si="6"/>
        <v>42.68</v>
      </c>
      <c r="T13" s="51">
        <v>5</v>
      </c>
      <c r="U13" s="61">
        <v>24</v>
      </c>
      <c r="V13" s="59">
        <f t="shared" si="7"/>
        <v>0.20833333333333334</v>
      </c>
      <c r="W13" s="56">
        <v>84</v>
      </c>
      <c r="X13" s="58">
        <v>41</v>
      </c>
      <c r="Y13" s="150">
        <f t="shared" si="8"/>
        <v>12.224938875305625</v>
      </c>
      <c r="Z13" s="56">
        <f t="shared" si="9"/>
        <v>281.68</v>
      </c>
      <c r="AA13" s="151">
        <f t="shared" si="10"/>
        <v>20.12</v>
      </c>
      <c r="AB13" s="152">
        <f t="shared" si="11"/>
        <v>0.88043169554103951</v>
      </c>
      <c r="AC13" s="153">
        <f t="shared" si="12"/>
        <v>0.49663569368792054</v>
      </c>
      <c r="AD13" s="154">
        <f t="shared" si="13"/>
        <v>0.49516908212560384</v>
      </c>
      <c r="AE13" s="70">
        <v>26</v>
      </c>
      <c r="AF13" s="71">
        <v>21</v>
      </c>
      <c r="AG13" s="72">
        <v>8</v>
      </c>
      <c r="AH13" s="51">
        <v>4</v>
      </c>
      <c r="AI13" s="61">
        <v>32</v>
      </c>
      <c r="AJ13" s="155">
        <f t="shared" si="14"/>
        <v>0.125</v>
      </c>
    </row>
    <row r="14" spans="1:36" s="23" customFormat="1" ht="24" customHeight="1">
      <c r="A14" s="74">
        <v>7</v>
      </c>
      <c r="B14" s="129" t="s">
        <v>148</v>
      </c>
      <c r="C14" s="26">
        <v>17</v>
      </c>
      <c r="D14" s="27">
        <v>384</v>
      </c>
      <c r="E14" s="134">
        <v>12.4</v>
      </c>
      <c r="F14" s="135">
        <f t="shared" si="0"/>
        <v>8.1705882352941188</v>
      </c>
      <c r="G14" s="136">
        <f t="shared" si="1"/>
        <v>14.468750000000002</v>
      </c>
      <c r="H14" s="31">
        <v>195</v>
      </c>
      <c r="I14" s="137">
        <f t="shared" si="2"/>
        <v>11.470588235294118</v>
      </c>
      <c r="J14" s="33">
        <f>284+(U14*3)+O14</f>
        <v>377</v>
      </c>
      <c r="K14" s="34">
        <f t="shared" si="3"/>
        <v>0.51724137931034486</v>
      </c>
      <c r="L14" s="35">
        <v>76</v>
      </c>
      <c r="M14" s="36">
        <v>153</v>
      </c>
      <c r="N14" s="34">
        <f t="shared" si="4"/>
        <v>0.49673202614379086</v>
      </c>
      <c r="O14" s="35">
        <v>60</v>
      </c>
      <c r="P14" s="35">
        <v>43</v>
      </c>
      <c r="Q14" s="37">
        <f>43/60</f>
        <v>0.71666666666666667</v>
      </c>
      <c r="R14" s="138">
        <f t="shared" si="5"/>
        <v>0.39215686274509803</v>
      </c>
      <c r="S14" s="39">
        <f t="shared" si="6"/>
        <v>26.4</v>
      </c>
      <c r="T14" s="26">
        <v>0</v>
      </c>
      <c r="U14" s="36">
        <v>11</v>
      </c>
      <c r="V14" s="34">
        <f t="shared" si="7"/>
        <v>0</v>
      </c>
      <c r="W14" s="31">
        <v>65</v>
      </c>
      <c r="X14" s="33">
        <v>36</v>
      </c>
      <c r="Y14" s="139">
        <f t="shared" si="8"/>
        <v>10.520833333333332</v>
      </c>
      <c r="Z14" s="31">
        <f t="shared" si="9"/>
        <v>209.4</v>
      </c>
      <c r="AA14" s="140">
        <f t="shared" si="10"/>
        <v>12.31764705882353</v>
      </c>
      <c r="AB14" s="141">
        <f t="shared" si="11"/>
        <v>0.93123209169054444</v>
      </c>
      <c r="AC14" s="142">
        <f t="shared" si="12"/>
        <v>0.54347826086956519</v>
      </c>
      <c r="AD14" s="143">
        <f t="shared" si="13"/>
        <v>0.49673202614379086</v>
      </c>
      <c r="AE14" s="45">
        <v>35</v>
      </c>
      <c r="AF14" s="46">
        <v>5</v>
      </c>
      <c r="AG14" s="47">
        <v>12</v>
      </c>
      <c r="AH14" s="26">
        <v>16</v>
      </c>
      <c r="AI14" s="36">
        <v>30</v>
      </c>
      <c r="AJ14" s="144">
        <f t="shared" si="14"/>
        <v>0.53333333333333333</v>
      </c>
    </row>
    <row r="15" spans="1:36" s="23" customFormat="1" ht="24" customHeight="1">
      <c r="A15" s="49">
        <v>8</v>
      </c>
      <c r="B15" s="130" t="s">
        <v>149</v>
      </c>
      <c r="C15" s="51">
        <v>13</v>
      </c>
      <c r="D15" s="52">
        <v>380</v>
      </c>
      <c r="E15" s="145">
        <v>16</v>
      </c>
      <c r="F15" s="146">
        <f t="shared" si="0"/>
        <v>10.276923076923076</v>
      </c>
      <c r="G15" s="147">
        <f t="shared" si="1"/>
        <v>14.063157894736841</v>
      </c>
      <c r="H15" s="56">
        <v>159</v>
      </c>
      <c r="I15" s="148">
        <f t="shared" si="2"/>
        <v>12.23076923076923</v>
      </c>
      <c r="J15" s="58">
        <f>208+(U15*3)+O15</f>
        <v>310</v>
      </c>
      <c r="K15" s="59">
        <f t="shared" si="3"/>
        <v>0.51290322580645165</v>
      </c>
      <c r="L15" s="60">
        <v>69</v>
      </c>
      <c r="M15" s="61">
        <v>132</v>
      </c>
      <c r="N15" s="59">
        <f t="shared" si="4"/>
        <v>0.52272727272727271</v>
      </c>
      <c r="O15" s="60">
        <v>18</v>
      </c>
      <c r="P15" s="60">
        <v>12</v>
      </c>
      <c r="Q15" s="62">
        <f>12/18</f>
        <v>0.66666666666666663</v>
      </c>
      <c r="R15" s="149">
        <f t="shared" si="5"/>
        <v>0.13636363636363635</v>
      </c>
      <c r="S15" s="64">
        <f t="shared" si="6"/>
        <v>7.92</v>
      </c>
      <c r="T15" s="51">
        <v>9</v>
      </c>
      <c r="U15" s="61">
        <v>28</v>
      </c>
      <c r="V15" s="59">
        <f t="shared" si="7"/>
        <v>0.32142857142857145</v>
      </c>
      <c r="W15" s="56">
        <v>73</v>
      </c>
      <c r="X15" s="58">
        <v>38</v>
      </c>
      <c r="Y15" s="150">
        <f t="shared" si="8"/>
        <v>11.684210526315791</v>
      </c>
      <c r="Z15" s="56">
        <f t="shared" si="9"/>
        <v>159.91999999999999</v>
      </c>
      <c r="AA15" s="151">
        <f t="shared" si="10"/>
        <v>12.30153846153846</v>
      </c>
      <c r="AB15" s="152">
        <f t="shared" si="11"/>
        <v>0.99424712356178102</v>
      </c>
      <c r="AC15" s="153">
        <f t="shared" si="12"/>
        <v>0.56818181818181823</v>
      </c>
      <c r="AD15" s="154">
        <f t="shared" si="13"/>
        <v>0.55681818181818177</v>
      </c>
      <c r="AE15" s="70">
        <v>34</v>
      </c>
      <c r="AF15" s="71">
        <v>18</v>
      </c>
      <c r="AG15" s="72">
        <v>8</v>
      </c>
      <c r="AH15" s="51">
        <v>9</v>
      </c>
      <c r="AI15" s="61">
        <v>20</v>
      </c>
      <c r="AJ15" s="155">
        <f t="shared" si="14"/>
        <v>0.45</v>
      </c>
    </row>
    <row r="16" spans="1:36" s="23" customFormat="1" ht="24" customHeight="1">
      <c r="A16" s="74">
        <v>9</v>
      </c>
      <c r="B16" s="129" t="s">
        <v>150</v>
      </c>
      <c r="C16" s="26">
        <v>29</v>
      </c>
      <c r="D16" s="27">
        <v>456</v>
      </c>
      <c r="E16" s="134">
        <v>8.1</v>
      </c>
      <c r="F16" s="135">
        <f t="shared" si="0"/>
        <v>5.4379310344827578</v>
      </c>
      <c r="G16" s="136">
        <f t="shared" si="1"/>
        <v>13.833333333333332</v>
      </c>
      <c r="H16" s="31">
        <v>185</v>
      </c>
      <c r="I16" s="137">
        <f t="shared" si="2"/>
        <v>6.3793103448275863</v>
      </c>
      <c r="J16" s="33">
        <f>254+(U16*3)+O16</f>
        <v>311</v>
      </c>
      <c r="K16" s="34">
        <f t="shared" si="3"/>
        <v>0.59485530546623799</v>
      </c>
      <c r="L16" s="35">
        <v>76</v>
      </c>
      <c r="M16" s="36">
        <v>127</v>
      </c>
      <c r="N16" s="34">
        <f t="shared" si="4"/>
        <v>0.59842519685039375</v>
      </c>
      <c r="O16" s="35">
        <v>57</v>
      </c>
      <c r="P16" s="35">
        <v>33</v>
      </c>
      <c r="Q16" s="37">
        <f>33/57</f>
        <v>0.57894736842105265</v>
      </c>
      <c r="R16" s="138">
        <f t="shared" si="5"/>
        <v>0.44881889763779526</v>
      </c>
      <c r="S16" s="39">
        <f t="shared" si="6"/>
        <v>25.080000000000002</v>
      </c>
      <c r="T16" s="26">
        <v>0</v>
      </c>
      <c r="U16" s="36">
        <v>0</v>
      </c>
      <c r="V16" s="34">
        <v>0</v>
      </c>
      <c r="W16" s="31">
        <v>95</v>
      </c>
      <c r="X16" s="33">
        <v>60</v>
      </c>
      <c r="Y16" s="139">
        <f t="shared" si="8"/>
        <v>13.596491228070175</v>
      </c>
      <c r="Z16" s="31">
        <f t="shared" si="9"/>
        <v>184.08</v>
      </c>
      <c r="AA16" s="140">
        <f t="shared" si="10"/>
        <v>6.3475862068965521</v>
      </c>
      <c r="AB16" s="141">
        <f t="shared" si="11"/>
        <v>1.0049978270317252</v>
      </c>
      <c r="AC16" s="142">
        <f t="shared" si="12"/>
        <v>0.60823250920568117</v>
      </c>
      <c r="AD16" s="143">
        <f t="shared" si="13"/>
        <v>0.59842519685039375</v>
      </c>
      <c r="AE16" s="45">
        <v>73</v>
      </c>
      <c r="AF16" s="46">
        <v>15</v>
      </c>
      <c r="AG16" s="47">
        <v>14</v>
      </c>
      <c r="AH16" s="26">
        <v>10</v>
      </c>
      <c r="AI16" s="36">
        <v>32</v>
      </c>
      <c r="AJ16" s="144">
        <f t="shared" si="14"/>
        <v>0.3125</v>
      </c>
    </row>
    <row r="17" spans="1:36" s="23" customFormat="1" ht="24" customHeight="1">
      <c r="A17" s="49">
        <v>10</v>
      </c>
      <c r="B17" s="130" t="s">
        <v>151</v>
      </c>
      <c r="C17" s="51">
        <v>25</v>
      </c>
      <c r="D17" s="52">
        <v>566</v>
      </c>
      <c r="E17" s="145">
        <v>12.1</v>
      </c>
      <c r="F17" s="146">
        <f t="shared" si="0"/>
        <v>7.4639999999999995</v>
      </c>
      <c r="G17" s="147">
        <f t="shared" si="1"/>
        <v>13.187279151943462</v>
      </c>
      <c r="H17" s="56">
        <v>184</v>
      </c>
      <c r="I17" s="148">
        <f t="shared" si="2"/>
        <v>7.36</v>
      </c>
      <c r="J17" s="58">
        <f>238+(U17*3)+O17</f>
        <v>292</v>
      </c>
      <c r="K17" s="59">
        <f t="shared" si="3"/>
        <v>0.63013698630136983</v>
      </c>
      <c r="L17" s="60">
        <v>79</v>
      </c>
      <c r="M17" s="61">
        <v>120</v>
      </c>
      <c r="N17" s="59">
        <f t="shared" si="4"/>
        <v>0.65833333333333333</v>
      </c>
      <c r="O17" s="60">
        <v>51</v>
      </c>
      <c r="P17" s="60">
        <v>25</v>
      </c>
      <c r="Q17" s="62">
        <f>25/51</f>
        <v>0.49019607843137253</v>
      </c>
      <c r="R17" s="149">
        <f t="shared" si="5"/>
        <v>0.42499999999999999</v>
      </c>
      <c r="S17" s="64">
        <f t="shared" si="6"/>
        <v>22.44</v>
      </c>
      <c r="T17" s="51">
        <v>1</v>
      </c>
      <c r="U17" s="61">
        <v>1</v>
      </c>
      <c r="V17" s="169">
        <f>T17/U17</f>
        <v>1</v>
      </c>
      <c r="W17" s="56">
        <v>128</v>
      </c>
      <c r="X17" s="58">
        <v>63</v>
      </c>
      <c r="Y17" s="150">
        <f t="shared" si="8"/>
        <v>13.498233215547703</v>
      </c>
      <c r="Z17" s="56">
        <f t="shared" si="9"/>
        <v>166.44</v>
      </c>
      <c r="AA17" s="151">
        <f t="shared" si="10"/>
        <v>6.6575999999999995</v>
      </c>
      <c r="AB17" s="152">
        <f t="shared" si="11"/>
        <v>1.1055034847392453</v>
      </c>
      <c r="AC17" s="153">
        <f t="shared" si="12"/>
        <v>0.64588598708228029</v>
      </c>
      <c r="AD17" s="154">
        <f t="shared" si="13"/>
        <v>0.66249999999999998</v>
      </c>
      <c r="AE17" s="70">
        <v>59</v>
      </c>
      <c r="AF17" s="71">
        <v>13</v>
      </c>
      <c r="AG17" s="72">
        <v>13</v>
      </c>
      <c r="AH17" s="51">
        <v>12</v>
      </c>
      <c r="AI17" s="61">
        <v>24</v>
      </c>
      <c r="AJ17" s="155">
        <f t="shared" si="14"/>
        <v>0.5</v>
      </c>
    </row>
    <row r="18" spans="1:36" s="23" customFormat="1" ht="24" customHeight="1">
      <c r="A18" s="74">
        <v>11</v>
      </c>
      <c r="B18" s="129" t="s">
        <v>152</v>
      </c>
      <c r="C18" s="26">
        <v>25</v>
      </c>
      <c r="D18" s="27">
        <v>516</v>
      </c>
      <c r="E18" s="134">
        <v>10.7</v>
      </c>
      <c r="F18" s="135">
        <f t="shared" si="0"/>
        <v>6.7439999999999971</v>
      </c>
      <c r="G18" s="136">
        <f t="shared" si="1"/>
        <v>13.069767441860458</v>
      </c>
      <c r="H18" s="31">
        <v>207</v>
      </c>
      <c r="I18" s="137">
        <f t="shared" si="2"/>
        <v>8.2799999999999994</v>
      </c>
      <c r="J18" s="33">
        <f>306+(U18*3)+O18</f>
        <v>370</v>
      </c>
      <c r="K18" s="34">
        <f t="shared" si="3"/>
        <v>0.55945945945945941</v>
      </c>
      <c r="L18" s="35">
        <v>83</v>
      </c>
      <c r="M18" s="36">
        <v>154</v>
      </c>
      <c r="N18" s="34">
        <f t="shared" si="4"/>
        <v>0.53896103896103897</v>
      </c>
      <c r="O18" s="35">
        <v>61</v>
      </c>
      <c r="P18" s="35">
        <v>41</v>
      </c>
      <c r="Q18" s="37">
        <f>41/61</f>
        <v>0.67213114754098358</v>
      </c>
      <c r="R18" s="138">
        <f t="shared" si="5"/>
        <v>0.39610389610389612</v>
      </c>
      <c r="S18" s="39">
        <f t="shared" si="6"/>
        <v>26.84</v>
      </c>
      <c r="T18" s="26">
        <v>0</v>
      </c>
      <c r="U18" s="36">
        <v>1</v>
      </c>
      <c r="V18" s="34">
        <f>T18/U18</f>
        <v>0</v>
      </c>
      <c r="W18" s="31">
        <v>102</v>
      </c>
      <c r="X18" s="33">
        <v>35</v>
      </c>
      <c r="Y18" s="139">
        <f t="shared" si="8"/>
        <v>10.620155038759691</v>
      </c>
      <c r="Z18" s="31">
        <f t="shared" si="9"/>
        <v>213.84</v>
      </c>
      <c r="AA18" s="140">
        <f t="shared" si="10"/>
        <v>8.5535999999999994</v>
      </c>
      <c r="AB18" s="141">
        <f t="shared" si="11"/>
        <v>0.96801346801346799</v>
      </c>
      <c r="AC18" s="142">
        <f t="shared" si="12"/>
        <v>0.57232913072329128</v>
      </c>
      <c r="AD18" s="143">
        <f t="shared" si="13"/>
        <v>0.53896103896103897</v>
      </c>
      <c r="AE18" s="45">
        <v>76</v>
      </c>
      <c r="AF18" s="46">
        <v>24</v>
      </c>
      <c r="AG18" s="47">
        <v>14</v>
      </c>
      <c r="AH18" s="26">
        <v>31</v>
      </c>
      <c r="AI18" s="36">
        <v>33</v>
      </c>
      <c r="AJ18" s="144">
        <f t="shared" si="14"/>
        <v>0.93939393939393945</v>
      </c>
    </row>
    <row r="19" spans="1:36" s="23" customFormat="1" ht="24" customHeight="1">
      <c r="A19" s="49">
        <v>12</v>
      </c>
      <c r="B19" s="130" t="s">
        <v>153</v>
      </c>
      <c r="C19" s="51">
        <v>21</v>
      </c>
      <c r="D19" s="52">
        <v>496</v>
      </c>
      <c r="E19" s="145">
        <v>12.1</v>
      </c>
      <c r="F19" s="146">
        <f t="shared" si="0"/>
        <v>7.4428571428571431</v>
      </c>
      <c r="G19" s="147">
        <f t="shared" si="1"/>
        <v>12.604838709677418</v>
      </c>
      <c r="H19" s="56">
        <v>269</v>
      </c>
      <c r="I19" s="148">
        <f t="shared" si="2"/>
        <v>12.80952380952381</v>
      </c>
      <c r="J19" s="58">
        <f>442+(U19*3)+O19</f>
        <v>596</v>
      </c>
      <c r="K19" s="59">
        <f t="shared" si="3"/>
        <v>0.45134228187919462</v>
      </c>
      <c r="L19" s="60">
        <v>106</v>
      </c>
      <c r="M19" s="61">
        <v>237</v>
      </c>
      <c r="N19" s="59">
        <f t="shared" si="4"/>
        <v>0.4472573839662447</v>
      </c>
      <c r="O19" s="60">
        <v>106</v>
      </c>
      <c r="P19" s="60">
        <v>54</v>
      </c>
      <c r="Q19" s="62">
        <f>54/106</f>
        <v>0.50943396226415094</v>
      </c>
      <c r="R19" s="149">
        <f t="shared" si="5"/>
        <v>0.4472573839662447</v>
      </c>
      <c r="S19" s="64">
        <f t="shared" si="6"/>
        <v>46.64</v>
      </c>
      <c r="T19" s="51">
        <v>3</v>
      </c>
      <c r="U19" s="61">
        <v>16</v>
      </c>
      <c r="V19" s="59">
        <f>T19/U19</f>
        <v>0.1875</v>
      </c>
      <c r="W19" s="56">
        <v>105</v>
      </c>
      <c r="X19" s="58">
        <v>48</v>
      </c>
      <c r="Y19" s="150">
        <f t="shared" si="8"/>
        <v>12.338709677419356</v>
      </c>
      <c r="Z19" s="56">
        <f t="shared" si="9"/>
        <v>330.64</v>
      </c>
      <c r="AA19" s="151">
        <f t="shared" si="10"/>
        <v>15.744761904761905</v>
      </c>
      <c r="AB19" s="152">
        <f t="shared" si="11"/>
        <v>0.8135736752963949</v>
      </c>
      <c r="AC19" s="153">
        <f t="shared" si="12"/>
        <v>0.47419263855591598</v>
      </c>
      <c r="AD19" s="154">
        <f t="shared" si="13"/>
        <v>0.45358649789029537</v>
      </c>
      <c r="AE19" s="70">
        <v>70</v>
      </c>
      <c r="AF19" s="71">
        <v>16</v>
      </c>
      <c r="AG19" s="72">
        <v>10</v>
      </c>
      <c r="AH19" s="51">
        <v>29</v>
      </c>
      <c r="AI19" s="61">
        <v>47</v>
      </c>
      <c r="AJ19" s="155">
        <f t="shared" si="14"/>
        <v>0.61702127659574468</v>
      </c>
    </row>
    <row r="20" spans="1:36" s="23" customFormat="1" ht="24" customHeight="1">
      <c r="A20" s="80">
        <v>13</v>
      </c>
      <c r="B20" s="129" t="s">
        <v>154</v>
      </c>
      <c r="C20" s="26">
        <v>21</v>
      </c>
      <c r="D20" s="27">
        <v>573</v>
      </c>
      <c r="E20" s="134">
        <v>11.7</v>
      </c>
      <c r="F20" s="135">
        <f t="shared" si="0"/>
        <v>8.3761904761904766</v>
      </c>
      <c r="G20" s="136">
        <f t="shared" si="1"/>
        <v>12.279232111692846</v>
      </c>
      <c r="H20" s="31">
        <v>205</v>
      </c>
      <c r="I20" s="137">
        <f t="shared" si="2"/>
        <v>9.7619047619047628</v>
      </c>
      <c r="J20" s="33">
        <f>270+(U20*3)+O20</f>
        <v>404</v>
      </c>
      <c r="K20" s="34">
        <f t="shared" si="3"/>
        <v>0.50742574257425743</v>
      </c>
      <c r="L20" s="35">
        <v>86</v>
      </c>
      <c r="M20" s="36">
        <v>163</v>
      </c>
      <c r="N20" s="34">
        <f t="shared" si="4"/>
        <v>0.52760736196319014</v>
      </c>
      <c r="O20" s="35">
        <v>50</v>
      </c>
      <c r="P20" s="35">
        <v>26</v>
      </c>
      <c r="Q20" s="37">
        <f>26/50</f>
        <v>0.52</v>
      </c>
      <c r="R20" s="138">
        <f t="shared" si="5"/>
        <v>0.30674846625766872</v>
      </c>
      <c r="S20" s="39">
        <f t="shared" si="6"/>
        <v>22</v>
      </c>
      <c r="T20" s="26">
        <v>7</v>
      </c>
      <c r="U20" s="36">
        <v>28</v>
      </c>
      <c r="V20" s="34">
        <f>T20/U20</f>
        <v>0.25</v>
      </c>
      <c r="W20" s="31">
        <v>77</v>
      </c>
      <c r="X20" s="33">
        <v>26</v>
      </c>
      <c r="Y20" s="139">
        <f t="shared" si="8"/>
        <v>7.1902268760907511</v>
      </c>
      <c r="Z20" s="31">
        <f t="shared" si="9"/>
        <v>200</v>
      </c>
      <c r="AA20" s="140">
        <f t="shared" si="10"/>
        <v>9.5238095238095237</v>
      </c>
      <c r="AB20" s="141">
        <f t="shared" si="11"/>
        <v>1.0249999999999999</v>
      </c>
      <c r="AC20" s="142">
        <f t="shared" si="12"/>
        <v>0.55405405405405406</v>
      </c>
      <c r="AD20" s="143">
        <f t="shared" si="13"/>
        <v>0.54907975460122704</v>
      </c>
      <c r="AE20" s="45">
        <v>49</v>
      </c>
      <c r="AF20" s="46">
        <v>24</v>
      </c>
      <c r="AG20" s="47">
        <v>15</v>
      </c>
      <c r="AH20" s="26">
        <v>31</v>
      </c>
      <c r="AI20" s="36">
        <v>15</v>
      </c>
      <c r="AJ20" s="144">
        <f t="shared" si="14"/>
        <v>2.0666666666666669</v>
      </c>
    </row>
    <row r="21" spans="1:36" s="23" customFormat="1" ht="24" customHeight="1">
      <c r="A21" s="49">
        <v>14</v>
      </c>
      <c r="B21" s="130" t="s">
        <v>155</v>
      </c>
      <c r="C21" s="51">
        <v>16</v>
      </c>
      <c r="D21" s="52">
        <v>404</v>
      </c>
      <c r="E21" s="145">
        <v>12.1</v>
      </c>
      <c r="F21" s="146">
        <f t="shared" si="0"/>
        <v>7.6374999999999993</v>
      </c>
      <c r="G21" s="147">
        <f t="shared" si="1"/>
        <v>12.099009900990099</v>
      </c>
      <c r="H21" s="56">
        <v>164</v>
      </c>
      <c r="I21" s="148">
        <f t="shared" si="2"/>
        <v>10.25</v>
      </c>
      <c r="J21" s="58">
        <f>226+(U21*3)+O21</f>
        <v>338</v>
      </c>
      <c r="K21" s="59">
        <f t="shared" si="3"/>
        <v>0.48520710059171596</v>
      </c>
      <c r="L21" s="60">
        <v>61</v>
      </c>
      <c r="M21" s="61">
        <v>126</v>
      </c>
      <c r="N21" s="59">
        <f t="shared" si="4"/>
        <v>0.48412698412698413</v>
      </c>
      <c r="O21" s="60">
        <v>73</v>
      </c>
      <c r="P21" s="60">
        <v>37</v>
      </c>
      <c r="Q21" s="62">
        <f>37/73</f>
        <v>0.50684931506849318</v>
      </c>
      <c r="R21" s="149">
        <f t="shared" si="5"/>
        <v>0.57936507936507942</v>
      </c>
      <c r="S21" s="64">
        <f t="shared" si="6"/>
        <v>32.119999999999997</v>
      </c>
      <c r="T21" s="51">
        <v>5</v>
      </c>
      <c r="U21" s="61">
        <v>13</v>
      </c>
      <c r="V21" s="59">
        <f>T21/U21</f>
        <v>0.38461538461538464</v>
      </c>
      <c r="W21" s="56">
        <v>50</v>
      </c>
      <c r="X21" s="58">
        <v>38</v>
      </c>
      <c r="Y21" s="150">
        <f t="shared" si="8"/>
        <v>8.7128712871287135</v>
      </c>
      <c r="Z21" s="56">
        <f t="shared" si="9"/>
        <v>174.12</v>
      </c>
      <c r="AA21" s="151">
        <f t="shared" si="10"/>
        <v>10.8825</v>
      </c>
      <c r="AB21" s="152">
        <f t="shared" si="11"/>
        <v>0.94187916379508385</v>
      </c>
      <c r="AC21" s="153">
        <f t="shared" si="12"/>
        <v>0.51859347331140904</v>
      </c>
      <c r="AD21" s="154">
        <f t="shared" si="13"/>
        <v>0.50396825396825395</v>
      </c>
      <c r="AE21" s="70">
        <v>46</v>
      </c>
      <c r="AF21" s="71">
        <v>11</v>
      </c>
      <c r="AG21" s="72">
        <v>11</v>
      </c>
      <c r="AH21" s="51">
        <v>15</v>
      </c>
      <c r="AI21" s="61">
        <v>16</v>
      </c>
      <c r="AJ21" s="155">
        <f t="shared" si="14"/>
        <v>0.9375</v>
      </c>
    </row>
    <row r="22" spans="1:36" s="23" customFormat="1" ht="24" customHeight="1">
      <c r="A22" s="74">
        <v>15</v>
      </c>
      <c r="B22" s="129" t="s">
        <v>156</v>
      </c>
      <c r="C22" s="26">
        <v>15</v>
      </c>
      <c r="D22" s="27">
        <v>199</v>
      </c>
      <c r="E22" s="134">
        <v>6.3</v>
      </c>
      <c r="F22" s="135">
        <f t="shared" si="0"/>
        <v>3.9733333333333332</v>
      </c>
      <c r="G22" s="136">
        <f t="shared" si="1"/>
        <v>11.979899497487438</v>
      </c>
      <c r="H22" s="31">
        <v>101</v>
      </c>
      <c r="I22" s="137">
        <f t="shared" si="2"/>
        <v>6.7333333333333334</v>
      </c>
      <c r="J22" s="33">
        <f>140+(U22*3)+O22</f>
        <v>191</v>
      </c>
      <c r="K22" s="34">
        <f t="shared" si="3"/>
        <v>0.52879581151832455</v>
      </c>
      <c r="L22" s="35">
        <v>35</v>
      </c>
      <c r="M22" s="36">
        <v>70</v>
      </c>
      <c r="N22" s="34">
        <f t="shared" si="4"/>
        <v>0.5</v>
      </c>
      <c r="O22" s="35">
        <v>51</v>
      </c>
      <c r="P22" s="35">
        <v>31</v>
      </c>
      <c r="Q22" s="37">
        <f>31/51</f>
        <v>0.60784313725490191</v>
      </c>
      <c r="R22" s="138">
        <f t="shared" si="5"/>
        <v>0.72857142857142854</v>
      </c>
      <c r="S22" s="39">
        <f t="shared" si="6"/>
        <v>22.44</v>
      </c>
      <c r="T22" s="26">
        <v>0</v>
      </c>
      <c r="U22" s="36">
        <v>0</v>
      </c>
      <c r="V22" s="34">
        <v>0</v>
      </c>
      <c r="W22" s="31">
        <v>22</v>
      </c>
      <c r="X22" s="33">
        <v>12</v>
      </c>
      <c r="Y22" s="139">
        <f t="shared" si="8"/>
        <v>6.8341708542713562</v>
      </c>
      <c r="Z22" s="31">
        <f t="shared" si="9"/>
        <v>108.44</v>
      </c>
      <c r="AA22" s="140">
        <f t="shared" si="10"/>
        <v>7.2293333333333329</v>
      </c>
      <c r="AB22" s="141">
        <f t="shared" si="11"/>
        <v>0.93139063076355588</v>
      </c>
      <c r="AC22" s="142">
        <f t="shared" si="12"/>
        <v>0.54630030289917786</v>
      </c>
      <c r="AD22" s="143">
        <f t="shared" si="13"/>
        <v>0.5</v>
      </c>
      <c r="AE22" s="45">
        <v>23</v>
      </c>
      <c r="AF22" s="46">
        <v>13</v>
      </c>
      <c r="AG22" s="47">
        <v>2</v>
      </c>
      <c r="AH22" s="26">
        <v>1</v>
      </c>
      <c r="AI22" s="36">
        <v>16</v>
      </c>
      <c r="AJ22" s="144">
        <f t="shared" si="14"/>
        <v>6.25E-2</v>
      </c>
    </row>
    <row r="23" spans="1:36" s="23" customFormat="1" ht="24" customHeight="1">
      <c r="A23" s="49">
        <v>16</v>
      </c>
      <c r="B23" s="130" t="s">
        <v>157</v>
      </c>
      <c r="C23" s="51">
        <v>19</v>
      </c>
      <c r="D23" s="52">
        <v>351</v>
      </c>
      <c r="E23" s="145">
        <v>8.1</v>
      </c>
      <c r="F23" s="146">
        <f t="shared" si="0"/>
        <v>4.7894736842105265</v>
      </c>
      <c r="G23" s="147">
        <f t="shared" si="1"/>
        <v>10.370370370370372</v>
      </c>
      <c r="H23" s="56">
        <v>125</v>
      </c>
      <c r="I23" s="148">
        <f t="shared" si="2"/>
        <v>6.5789473684210522</v>
      </c>
      <c r="J23" s="58">
        <f>164+(U23*3)+O23</f>
        <v>238</v>
      </c>
      <c r="K23" s="59">
        <f t="shared" si="3"/>
        <v>0.52521008403361347</v>
      </c>
      <c r="L23" s="60">
        <v>42</v>
      </c>
      <c r="M23" s="61">
        <v>82</v>
      </c>
      <c r="N23" s="59">
        <f t="shared" si="4"/>
        <v>0.51219512195121952</v>
      </c>
      <c r="O23" s="60">
        <v>74</v>
      </c>
      <c r="P23" s="60">
        <v>41</v>
      </c>
      <c r="Q23" s="62">
        <f>41/74</f>
        <v>0.55405405405405406</v>
      </c>
      <c r="R23" s="149">
        <f t="shared" si="5"/>
        <v>0.90243902439024393</v>
      </c>
      <c r="S23" s="64">
        <f t="shared" si="6"/>
        <v>32.56</v>
      </c>
      <c r="T23" s="51">
        <v>0</v>
      </c>
      <c r="U23" s="61">
        <v>0</v>
      </c>
      <c r="V23" s="59">
        <v>0</v>
      </c>
      <c r="W23" s="56">
        <v>53</v>
      </c>
      <c r="X23" s="58">
        <v>39</v>
      </c>
      <c r="Y23" s="150">
        <f t="shared" si="8"/>
        <v>10.484330484330485</v>
      </c>
      <c r="Z23" s="56">
        <f t="shared" si="9"/>
        <v>139.56</v>
      </c>
      <c r="AA23" s="151">
        <f t="shared" si="10"/>
        <v>7.3452631578947374</v>
      </c>
      <c r="AB23" s="152">
        <f t="shared" si="11"/>
        <v>0.89567211235310973</v>
      </c>
      <c r="AC23" s="153">
        <f t="shared" si="12"/>
        <v>0.54556564245810057</v>
      </c>
      <c r="AD23" s="154">
        <f t="shared" si="13"/>
        <v>0.51219512195121952</v>
      </c>
      <c r="AE23" s="70">
        <v>50</v>
      </c>
      <c r="AF23" s="71">
        <v>3</v>
      </c>
      <c r="AG23" s="72">
        <v>9</v>
      </c>
      <c r="AH23" s="51">
        <v>15</v>
      </c>
      <c r="AI23" s="61">
        <v>25</v>
      </c>
      <c r="AJ23" s="155">
        <f t="shared" si="14"/>
        <v>0.6</v>
      </c>
    </row>
    <row r="24" spans="1:36" s="23" customFormat="1" ht="24" customHeight="1">
      <c r="A24" s="74">
        <v>17</v>
      </c>
      <c r="B24" s="129" t="s">
        <v>158</v>
      </c>
      <c r="C24" s="26">
        <v>33</v>
      </c>
      <c r="D24" s="27">
        <v>795</v>
      </c>
      <c r="E24" s="134">
        <v>10.3</v>
      </c>
      <c r="F24" s="135">
        <f t="shared" si="0"/>
        <v>6.1878787878787893</v>
      </c>
      <c r="G24" s="136">
        <f t="shared" si="1"/>
        <v>10.27421383647799</v>
      </c>
      <c r="H24" s="31">
        <v>289</v>
      </c>
      <c r="I24" s="137">
        <f t="shared" si="2"/>
        <v>8.7575757575757578</v>
      </c>
      <c r="J24" s="33">
        <f>334+(U24*3)+O24</f>
        <v>582</v>
      </c>
      <c r="K24" s="34">
        <f t="shared" si="3"/>
        <v>0.49656357388316152</v>
      </c>
      <c r="L24" s="35">
        <v>114</v>
      </c>
      <c r="M24" s="36">
        <v>228</v>
      </c>
      <c r="N24" s="34">
        <f t="shared" si="4"/>
        <v>0.5</v>
      </c>
      <c r="O24" s="35">
        <v>65</v>
      </c>
      <c r="P24" s="35">
        <v>42</v>
      </c>
      <c r="Q24" s="37">
        <f>42/65</f>
        <v>0.64615384615384619</v>
      </c>
      <c r="R24" s="138">
        <f t="shared" si="5"/>
        <v>0.28508771929824561</v>
      </c>
      <c r="S24" s="39">
        <f t="shared" si="6"/>
        <v>28.6</v>
      </c>
      <c r="T24" s="26">
        <v>19</v>
      </c>
      <c r="U24" s="36">
        <v>61</v>
      </c>
      <c r="V24" s="34">
        <f>T24/U24</f>
        <v>0.31147540983606559</v>
      </c>
      <c r="W24" s="31">
        <v>130</v>
      </c>
      <c r="X24" s="33">
        <v>45</v>
      </c>
      <c r="Y24" s="139">
        <f t="shared" si="8"/>
        <v>8.8050314465408803</v>
      </c>
      <c r="Z24" s="31">
        <f t="shared" si="9"/>
        <v>327.60000000000002</v>
      </c>
      <c r="AA24" s="140">
        <f t="shared" si="10"/>
        <v>9.9272727272727277</v>
      </c>
      <c r="AB24" s="141">
        <f t="shared" si="11"/>
        <v>0.88217338217338215</v>
      </c>
      <c r="AC24" s="142">
        <f t="shared" si="12"/>
        <v>0.56313328137178487</v>
      </c>
      <c r="AD24" s="143">
        <f t="shared" si="13"/>
        <v>0.54166666666666663</v>
      </c>
      <c r="AE24" s="45">
        <v>84</v>
      </c>
      <c r="AF24" s="46">
        <v>18</v>
      </c>
      <c r="AG24" s="47">
        <v>20</v>
      </c>
      <c r="AH24" s="26">
        <v>57</v>
      </c>
      <c r="AI24" s="36">
        <v>71</v>
      </c>
      <c r="AJ24" s="144">
        <f t="shared" si="14"/>
        <v>0.80281690140845074</v>
      </c>
    </row>
    <row r="25" spans="1:36" s="23" customFormat="1" ht="24" customHeight="1">
      <c r="A25" s="81">
        <v>18</v>
      </c>
      <c r="B25" s="130" t="s">
        <v>159</v>
      </c>
      <c r="C25" s="51">
        <v>32</v>
      </c>
      <c r="D25" s="52">
        <v>400</v>
      </c>
      <c r="E25" s="145">
        <v>5.2</v>
      </c>
      <c r="F25" s="146">
        <f t="shared" si="0"/>
        <v>2.8</v>
      </c>
      <c r="G25" s="147">
        <f t="shared" si="1"/>
        <v>8.9600000000000009</v>
      </c>
      <c r="H25" s="56">
        <v>61</v>
      </c>
      <c r="I25" s="148">
        <f t="shared" si="2"/>
        <v>1.90625</v>
      </c>
      <c r="J25" s="58">
        <f>112+(U25*3)+O25</f>
        <v>146</v>
      </c>
      <c r="K25" s="59">
        <f t="shared" si="3"/>
        <v>0.4178082191780822</v>
      </c>
      <c r="L25" s="60">
        <v>24</v>
      </c>
      <c r="M25" s="61">
        <v>58</v>
      </c>
      <c r="N25" s="59">
        <f t="shared" si="4"/>
        <v>0.41379310344827586</v>
      </c>
      <c r="O25" s="60">
        <v>28</v>
      </c>
      <c r="P25" s="60">
        <v>13</v>
      </c>
      <c r="Q25" s="62">
        <f>13/28</f>
        <v>0.4642857142857143</v>
      </c>
      <c r="R25" s="149">
        <f t="shared" si="5"/>
        <v>0.48275862068965519</v>
      </c>
      <c r="S25" s="64">
        <f t="shared" si="6"/>
        <v>12.32</v>
      </c>
      <c r="T25" s="51">
        <v>0</v>
      </c>
      <c r="U25" s="61">
        <v>2</v>
      </c>
      <c r="V25" s="59">
        <f>T25/U25</f>
        <v>0</v>
      </c>
      <c r="W25" s="56">
        <v>97</v>
      </c>
      <c r="X25" s="58">
        <v>52</v>
      </c>
      <c r="Y25" s="150">
        <f t="shared" si="8"/>
        <v>14.9</v>
      </c>
      <c r="Z25" s="56">
        <f t="shared" si="9"/>
        <v>85.32</v>
      </c>
      <c r="AA25" s="151">
        <f t="shared" si="10"/>
        <v>2.6662499999999998</v>
      </c>
      <c r="AB25" s="152">
        <f t="shared" si="11"/>
        <v>0.71495546179090486</v>
      </c>
      <c r="AC25" s="153">
        <f t="shared" si="12"/>
        <v>0.43373151308304897</v>
      </c>
      <c r="AD25" s="154">
        <f t="shared" si="13"/>
        <v>0.41379310344827586</v>
      </c>
      <c r="AE25" s="70">
        <v>65</v>
      </c>
      <c r="AF25" s="71">
        <v>36</v>
      </c>
      <c r="AG25" s="72">
        <v>4</v>
      </c>
      <c r="AH25" s="51">
        <v>17</v>
      </c>
      <c r="AI25" s="61">
        <v>15</v>
      </c>
      <c r="AJ25" s="155">
        <f t="shared" si="14"/>
        <v>1.1333333333333333</v>
      </c>
    </row>
    <row r="26" spans="1:36" s="23" customFormat="1" ht="24" customHeight="1">
      <c r="A26" s="74">
        <v>19</v>
      </c>
      <c r="B26" s="129" t="s">
        <v>160</v>
      </c>
      <c r="C26" s="26">
        <v>25</v>
      </c>
      <c r="D26" s="27">
        <v>593</v>
      </c>
      <c r="E26" s="134">
        <v>7.6</v>
      </c>
      <c r="F26" s="135">
        <f t="shared" si="0"/>
        <v>5.0760000000000005</v>
      </c>
      <c r="G26" s="136">
        <f t="shared" si="1"/>
        <v>8.559865092748737</v>
      </c>
      <c r="H26" s="31">
        <v>209</v>
      </c>
      <c r="I26" s="137">
        <f t="shared" si="2"/>
        <v>8.36</v>
      </c>
      <c r="J26" s="33">
        <f>192+(U26*3)+O26</f>
        <v>588</v>
      </c>
      <c r="K26" s="34">
        <f t="shared" si="3"/>
        <v>0.35544217687074831</v>
      </c>
      <c r="L26" s="35">
        <v>69</v>
      </c>
      <c r="M26" s="36">
        <v>201</v>
      </c>
      <c r="N26" s="34">
        <f t="shared" si="4"/>
        <v>0.34328358208955223</v>
      </c>
      <c r="O26" s="35">
        <v>60</v>
      </c>
      <c r="P26" s="35">
        <v>43</v>
      </c>
      <c r="Q26" s="37">
        <f>43/60</f>
        <v>0.71666666666666667</v>
      </c>
      <c r="R26" s="138">
        <f t="shared" si="5"/>
        <v>0.29850746268656714</v>
      </c>
      <c r="S26" s="39">
        <f t="shared" si="6"/>
        <v>26.4</v>
      </c>
      <c r="T26" s="26">
        <v>28</v>
      </c>
      <c r="U26" s="36">
        <v>112</v>
      </c>
      <c r="V26" s="34">
        <f>T26/U26</f>
        <v>0.25</v>
      </c>
      <c r="W26" s="31">
        <v>93</v>
      </c>
      <c r="X26" s="33">
        <v>35</v>
      </c>
      <c r="Y26" s="139">
        <f t="shared" si="8"/>
        <v>8.6340640809443503</v>
      </c>
      <c r="Z26" s="31">
        <f t="shared" si="9"/>
        <v>259.39999999999998</v>
      </c>
      <c r="AA26" s="140">
        <f t="shared" si="10"/>
        <v>10.375999999999999</v>
      </c>
      <c r="AB26" s="141">
        <f t="shared" si="11"/>
        <v>0.80570547417116434</v>
      </c>
      <c r="AC26" s="142">
        <f t="shared" si="12"/>
        <v>0.45954265611257694</v>
      </c>
      <c r="AD26" s="143">
        <f t="shared" si="13"/>
        <v>0.41293532338308458</v>
      </c>
      <c r="AE26" s="45">
        <v>50</v>
      </c>
      <c r="AF26" s="46">
        <v>14</v>
      </c>
      <c r="AG26" s="47">
        <v>15</v>
      </c>
      <c r="AH26" s="26">
        <v>18</v>
      </c>
      <c r="AI26" s="36">
        <v>32</v>
      </c>
      <c r="AJ26" s="144">
        <f t="shared" si="14"/>
        <v>0.5625</v>
      </c>
    </row>
    <row r="27" spans="1:36" s="23" customFormat="1" ht="24" customHeight="1">
      <c r="A27" s="82">
        <v>20</v>
      </c>
      <c r="B27" s="170" t="s">
        <v>161</v>
      </c>
      <c r="C27" s="84">
        <v>35</v>
      </c>
      <c r="D27" s="85">
        <v>841</v>
      </c>
      <c r="E27" s="157">
        <v>9.1</v>
      </c>
      <c r="F27" s="158">
        <f t="shared" si="0"/>
        <v>5</v>
      </c>
      <c r="G27" s="159">
        <f t="shared" si="1"/>
        <v>8.3234244946492275</v>
      </c>
      <c r="H27" s="89">
        <v>126</v>
      </c>
      <c r="I27" s="160">
        <f t="shared" si="2"/>
        <v>3.6</v>
      </c>
      <c r="J27" s="91">
        <f>186+(U27*3)+O27</f>
        <v>232</v>
      </c>
      <c r="K27" s="92">
        <f t="shared" si="3"/>
        <v>0.5431034482758621</v>
      </c>
      <c r="L27" s="93">
        <v>54</v>
      </c>
      <c r="M27" s="94">
        <v>157</v>
      </c>
      <c r="N27" s="92">
        <f t="shared" si="4"/>
        <v>0.34394904458598724</v>
      </c>
      <c r="O27" s="93">
        <v>28</v>
      </c>
      <c r="P27" s="93">
        <v>18</v>
      </c>
      <c r="Q27" s="95">
        <f>18/28</f>
        <v>0.6428571428571429</v>
      </c>
      <c r="R27" s="161">
        <f t="shared" si="5"/>
        <v>0.17834394904458598</v>
      </c>
      <c r="S27" s="97">
        <f t="shared" si="6"/>
        <v>12.32</v>
      </c>
      <c r="T27" s="84">
        <v>0</v>
      </c>
      <c r="U27" s="94">
        <v>6</v>
      </c>
      <c r="V27" s="92">
        <f>T27/U27</f>
        <v>0</v>
      </c>
      <c r="W27" s="89">
        <v>178</v>
      </c>
      <c r="X27" s="91">
        <v>133</v>
      </c>
      <c r="Y27" s="162">
        <f t="shared" si="8"/>
        <v>14.791914387633769</v>
      </c>
      <c r="Z27" s="89">
        <f t="shared" si="9"/>
        <v>206.32</v>
      </c>
      <c r="AA27" s="163">
        <f t="shared" si="10"/>
        <v>5.894857142857143</v>
      </c>
      <c r="AB27" s="164">
        <f t="shared" si="11"/>
        <v>0.6107018224117875</v>
      </c>
      <c r="AC27" s="165">
        <f t="shared" si="12"/>
        <v>0.3720765414599575</v>
      </c>
      <c r="AD27" s="166">
        <f t="shared" si="13"/>
        <v>0.34394904458598724</v>
      </c>
      <c r="AE27" s="103">
        <v>108</v>
      </c>
      <c r="AF27" s="104">
        <v>25</v>
      </c>
      <c r="AG27" s="105">
        <v>40</v>
      </c>
      <c r="AH27" s="84">
        <v>25</v>
      </c>
      <c r="AI27" s="94">
        <v>37</v>
      </c>
      <c r="AJ27" s="167">
        <f t="shared" si="14"/>
        <v>0.67567567567567566</v>
      </c>
    </row>
    <row r="28" spans="1:36" s="107" customFormat="1" ht="21" customHeight="1">
      <c r="A28" s="263" t="s">
        <v>162</v>
      </c>
      <c r="B28" s="263"/>
      <c r="C28" s="263"/>
      <c r="D28" s="263"/>
      <c r="E28" s="263"/>
      <c r="F28" s="263"/>
      <c r="G28" s="263"/>
      <c r="H28" s="263"/>
      <c r="I28" s="263"/>
      <c r="J28" s="263"/>
      <c r="K28" s="263"/>
      <c r="L28" s="263"/>
      <c r="M28" s="263"/>
      <c r="N28" s="263"/>
      <c r="O28" s="263"/>
      <c r="P28" s="263"/>
      <c r="Q28" s="263"/>
      <c r="R28" s="263"/>
      <c r="S28" s="263"/>
      <c r="T28" s="263"/>
      <c r="U28" s="263"/>
      <c r="V28" s="263"/>
      <c r="W28" s="263"/>
      <c r="X28" s="263"/>
      <c r="Y28" s="263"/>
    </row>
    <row r="29" spans="1:36" s="107" customFormat="1" ht="21" customHeight="1">
      <c r="A29" s="263" t="s">
        <v>72</v>
      </c>
      <c r="B29" s="263"/>
      <c r="C29" s="263"/>
      <c r="D29" s="263"/>
      <c r="E29" s="263"/>
      <c r="F29" s="263"/>
      <c r="G29" s="263"/>
      <c r="H29" s="263"/>
      <c r="I29" s="263"/>
      <c r="J29" s="263"/>
      <c r="K29" s="263"/>
      <c r="L29" s="263"/>
      <c r="M29" s="263"/>
      <c r="N29" s="263"/>
      <c r="O29" s="263"/>
      <c r="P29" s="263"/>
      <c r="Q29" s="263"/>
      <c r="R29" s="263"/>
      <c r="S29" s="263"/>
      <c r="T29" s="263"/>
      <c r="U29" s="263"/>
      <c r="V29" s="263"/>
      <c r="W29" s="263"/>
      <c r="X29" s="263"/>
      <c r="Y29" s="263"/>
    </row>
  </sheetData>
  <mergeCells count="27">
    <mergeCell ref="AH5:AJ5"/>
    <mergeCell ref="C5:C7"/>
    <mergeCell ref="AG5:AG7"/>
    <mergeCell ref="AH6:AJ6"/>
    <mergeCell ref="T5:V5"/>
    <mergeCell ref="E6:G6"/>
    <mergeCell ref="AE5:AE7"/>
    <mergeCell ref="L6:N6"/>
    <mergeCell ref="E5:G5"/>
    <mergeCell ref="W6:Y6"/>
    <mergeCell ref="Z5:AB5"/>
    <mergeCell ref="T6:V6"/>
    <mergeCell ref="D5:D7"/>
    <mergeCell ref="H5:K5"/>
    <mergeCell ref="L5:N5"/>
    <mergeCell ref="O5:S5"/>
    <mergeCell ref="A28:Y28"/>
    <mergeCell ref="A5:B7"/>
    <mergeCell ref="A29:Y29"/>
    <mergeCell ref="A1:B4"/>
    <mergeCell ref="AF5:AF7"/>
    <mergeCell ref="AE1:AJ4"/>
    <mergeCell ref="C1:AD2"/>
    <mergeCell ref="C3:AD4"/>
    <mergeCell ref="W5:Y5"/>
    <mergeCell ref="O6:S6"/>
    <mergeCell ref="H6:K6"/>
  </mergeCells>
  <pageMargins left="0.25" right="0.25" top="0.75" bottom="0.75" header="0.3" footer="0.3"/>
  <pageSetup paperSize="3" fitToWidth="0" fitToHeight="0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Pc</dc:creator>
  <cp:keywords/>
  <dc:description/>
  <cp:lastModifiedBy>spartans</cp:lastModifiedBy>
  <cp:revision/>
  <dcterms:created xsi:type="dcterms:W3CDTF">2020-05-16T17:53:02Z</dcterms:created>
  <dcterms:modified xsi:type="dcterms:W3CDTF">2023-02-07T15:06:05Z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5bce0e7c40074648bbea5e969cf5d47a</vt:lpwstr>
  </property>
</Properties>
</file>