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02"/>
  <workbookPr defaultThemeVersion="166925"/>
  <xr:revisionPtr revIDLastSave="0" documentId="8_{1738B473-4EA8-48AE-A72B-8CE5EBCAFB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57" i="1" l="1"/>
  <c r="AD57" i="1"/>
  <c r="S57" i="1"/>
  <c r="AC57" i="1"/>
  <c r="Z57" i="1"/>
  <c r="AB57" i="1"/>
  <c r="AA57" i="1"/>
  <c r="Y57" i="1"/>
  <c r="V57" i="1"/>
  <c r="R57" i="1"/>
  <c r="Q57" i="1"/>
  <c r="N57" i="1"/>
  <c r="K57" i="1"/>
  <c r="I57" i="1"/>
  <c r="F57" i="1"/>
  <c r="G57" i="1"/>
  <c r="AJ56" i="1"/>
  <c r="AD56" i="1"/>
  <c r="S56" i="1"/>
  <c r="AC56" i="1"/>
  <c r="Z56" i="1"/>
  <c r="AB56" i="1"/>
  <c r="AA56" i="1"/>
  <c r="Y56" i="1"/>
  <c r="V56" i="1"/>
  <c r="R56" i="1"/>
  <c r="Q56" i="1"/>
  <c r="N56" i="1"/>
  <c r="J56" i="1"/>
  <c r="K56" i="1"/>
  <c r="I56" i="1"/>
  <c r="F56" i="1"/>
  <c r="G56" i="1"/>
  <c r="AJ55" i="1"/>
  <c r="AD55" i="1"/>
  <c r="S55" i="1"/>
  <c r="AC55" i="1"/>
  <c r="Z55" i="1"/>
  <c r="AB55" i="1"/>
  <c r="AA55" i="1"/>
  <c r="Y55" i="1"/>
  <c r="V55" i="1"/>
  <c r="R55" i="1"/>
  <c r="Q55" i="1"/>
  <c r="N55" i="1"/>
  <c r="K55" i="1"/>
  <c r="I55" i="1"/>
  <c r="F55" i="1"/>
  <c r="G55" i="1"/>
  <c r="AJ54" i="1"/>
  <c r="AD54" i="1"/>
  <c r="S54" i="1"/>
  <c r="AC54" i="1"/>
  <c r="Z54" i="1"/>
  <c r="AB54" i="1"/>
  <c r="AA54" i="1"/>
  <c r="Y54" i="1"/>
  <c r="V54" i="1"/>
  <c r="R54" i="1"/>
  <c r="Q54" i="1"/>
  <c r="N54" i="1"/>
  <c r="J54" i="1"/>
  <c r="K54" i="1"/>
  <c r="I54" i="1"/>
  <c r="F54" i="1"/>
  <c r="G54" i="1"/>
  <c r="AJ53" i="1"/>
  <c r="AD53" i="1"/>
  <c r="S53" i="1"/>
  <c r="AC53" i="1"/>
  <c r="Z53" i="1"/>
  <c r="AB53" i="1"/>
  <c r="AA53" i="1"/>
  <c r="Y53" i="1"/>
  <c r="V53" i="1"/>
  <c r="R53" i="1"/>
  <c r="Q53" i="1"/>
  <c r="N53" i="1"/>
  <c r="J53" i="1"/>
  <c r="K53" i="1"/>
  <c r="I53" i="1"/>
  <c r="F53" i="1"/>
  <c r="G53" i="1"/>
  <c r="AJ52" i="1"/>
  <c r="AD52" i="1"/>
  <c r="S52" i="1"/>
  <c r="AC52" i="1"/>
  <c r="Z52" i="1"/>
  <c r="AB52" i="1"/>
  <c r="AA52" i="1"/>
  <c r="Y52" i="1"/>
  <c r="V52" i="1"/>
  <c r="R52" i="1"/>
  <c r="Q52" i="1"/>
  <c r="N52" i="1"/>
  <c r="J52" i="1"/>
  <c r="K52" i="1"/>
  <c r="I52" i="1"/>
  <c r="F52" i="1"/>
  <c r="G52" i="1"/>
  <c r="AJ51" i="1"/>
  <c r="AD51" i="1"/>
  <c r="S51" i="1"/>
  <c r="AC51" i="1"/>
  <c r="Z51" i="1"/>
  <c r="AB51" i="1"/>
  <c r="AA51" i="1"/>
  <c r="Y51" i="1"/>
  <c r="V51" i="1"/>
  <c r="R51" i="1"/>
  <c r="Q51" i="1"/>
  <c r="N51" i="1"/>
  <c r="J51" i="1"/>
  <c r="K51" i="1"/>
  <c r="I51" i="1"/>
  <c r="F51" i="1"/>
  <c r="G51" i="1"/>
  <c r="AJ50" i="1"/>
  <c r="AD50" i="1"/>
  <c r="S50" i="1"/>
  <c r="AC50" i="1"/>
  <c r="Z50" i="1"/>
  <c r="AB50" i="1"/>
  <c r="AA50" i="1"/>
  <c r="Y50" i="1"/>
  <c r="V50" i="1"/>
  <c r="R50" i="1"/>
  <c r="Q50" i="1"/>
  <c r="N50" i="1"/>
  <c r="J50" i="1"/>
  <c r="K50" i="1"/>
  <c r="I50" i="1"/>
  <c r="F50" i="1"/>
  <c r="G50" i="1"/>
  <c r="AJ49" i="1"/>
  <c r="AD49" i="1"/>
  <c r="S49" i="1"/>
  <c r="AC49" i="1"/>
  <c r="Z49" i="1"/>
  <c r="AB49" i="1"/>
  <c r="AA49" i="1"/>
  <c r="Y49" i="1"/>
  <c r="V49" i="1"/>
  <c r="R49" i="1"/>
  <c r="Q49" i="1"/>
  <c r="N49" i="1"/>
  <c r="K49" i="1"/>
  <c r="I49" i="1"/>
  <c r="F49" i="1"/>
  <c r="G49" i="1"/>
  <c r="AJ48" i="1"/>
  <c r="AD48" i="1"/>
  <c r="S48" i="1"/>
  <c r="AC48" i="1"/>
  <c r="Z48" i="1"/>
  <c r="AB48" i="1"/>
  <c r="AA48" i="1"/>
  <c r="Y48" i="1"/>
  <c r="R48" i="1"/>
  <c r="Q48" i="1"/>
  <c r="N48" i="1"/>
  <c r="J48" i="1"/>
  <c r="K48" i="1"/>
  <c r="I48" i="1"/>
  <c r="F48" i="1"/>
  <c r="G48" i="1"/>
  <c r="AJ47" i="1"/>
  <c r="AD47" i="1"/>
  <c r="S47" i="1"/>
  <c r="AC47" i="1"/>
  <c r="Z47" i="1"/>
  <c r="AB47" i="1"/>
  <c r="AA47" i="1"/>
  <c r="Y47" i="1"/>
  <c r="V47" i="1"/>
  <c r="R47" i="1"/>
  <c r="Q47" i="1"/>
  <c r="N47" i="1"/>
  <c r="J47" i="1"/>
  <c r="K47" i="1"/>
  <c r="I47" i="1"/>
  <c r="F47" i="1"/>
  <c r="G47" i="1"/>
  <c r="AJ46" i="1"/>
  <c r="AD46" i="1"/>
  <c r="S46" i="1"/>
  <c r="AC46" i="1"/>
  <c r="Z46" i="1"/>
  <c r="AB46" i="1"/>
  <c r="AA46" i="1"/>
  <c r="Y46" i="1"/>
  <c r="V46" i="1"/>
  <c r="R46" i="1"/>
  <c r="Q46" i="1"/>
  <c r="N46" i="1"/>
  <c r="J46" i="1"/>
  <c r="K46" i="1"/>
  <c r="I46" i="1"/>
  <c r="F46" i="1"/>
  <c r="G46" i="1"/>
  <c r="AJ45" i="1"/>
  <c r="AD45" i="1"/>
  <c r="S45" i="1"/>
  <c r="AC45" i="1"/>
  <c r="Z45" i="1"/>
  <c r="AB45" i="1"/>
  <c r="AA45" i="1"/>
  <c r="Y45" i="1"/>
  <c r="V45" i="1"/>
  <c r="R45" i="1"/>
  <c r="Q45" i="1"/>
  <c r="N45" i="1"/>
  <c r="J45" i="1"/>
  <c r="K45" i="1"/>
  <c r="I45" i="1"/>
  <c r="F45" i="1"/>
  <c r="G45" i="1"/>
  <c r="AJ44" i="1"/>
  <c r="AD44" i="1"/>
  <c r="S44" i="1"/>
  <c r="AC44" i="1"/>
  <c r="Z44" i="1"/>
  <c r="AB44" i="1"/>
  <c r="AA44" i="1"/>
  <c r="Y44" i="1"/>
  <c r="V44" i="1"/>
  <c r="R44" i="1"/>
  <c r="Q44" i="1"/>
  <c r="N44" i="1"/>
  <c r="J44" i="1"/>
  <c r="K44" i="1"/>
  <c r="I44" i="1"/>
  <c r="F44" i="1"/>
  <c r="G44" i="1"/>
  <c r="AJ43" i="1"/>
  <c r="AD43" i="1"/>
  <c r="S43" i="1"/>
  <c r="AC43" i="1"/>
  <c r="Z43" i="1"/>
  <c r="AB43" i="1"/>
  <c r="AA43" i="1"/>
  <c r="Y43" i="1"/>
  <c r="V43" i="1"/>
  <c r="R43" i="1"/>
  <c r="Q43" i="1"/>
  <c r="N43" i="1"/>
  <c r="J43" i="1"/>
  <c r="K43" i="1"/>
  <c r="I43" i="1"/>
  <c r="F43" i="1"/>
  <c r="G43" i="1"/>
  <c r="AJ42" i="1"/>
  <c r="AD42" i="1"/>
  <c r="S42" i="1"/>
  <c r="AC42" i="1"/>
  <c r="Z42" i="1"/>
  <c r="AB42" i="1"/>
  <c r="AA42" i="1"/>
  <c r="Y42" i="1"/>
  <c r="V42" i="1"/>
  <c r="R42" i="1"/>
  <c r="Q42" i="1"/>
  <c r="N42" i="1"/>
  <c r="J42" i="1"/>
  <c r="K42" i="1"/>
  <c r="I42" i="1"/>
  <c r="F42" i="1"/>
  <c r="G42" i="1"/>
  <c r="AJ41" i="1"/>
  <c r="AD41" i="1"/>
  <c r="S41" i="1"/>
  <c r="AC41" i="1"/>
  <c r="Z41" i="1"/>
  <c r="AB41" i="1"/>
  <c r="AA41" i="1"/>
  <c r="Y41" i="1"/>
  <c r="R41" i="1"/>
  <c r="Q41" i="1"/>
  <c r="N41" i="1"/>
  <c r="J41" i="1"/>
  <c r="K41" i="1"/>
  <c r="I41" i="1"/>
  <c r="F41" i="1"/>
  <c r="G41" i="1"/>
  <c r="AJ40" i="1"/>
  <c r="AD40" i="1"/>
  <c r="S40" i="1"/>
  <c r="AC40" i="1"/>
  <c r="Z40" i="1"/>
  <c r="AB40" i="1"/>
  <c r="AA40" i="1"/>
  <c r="Y40" i="1"/>
  <c r="V40" i="1"/>
  <c r="R40" i="1"/>
  <c r="Q40" i="1"/>
  <c r="N40" i="1"/>
  <c r="J40" i="1"/>
  <c r="K40" i="1"/>
  <c r="I40" i="1"/>
  <c r="F40" i="1"/>
  <c r="G40" i="1"/>
  <c r="AJ39" i="1"/>
  <c r="AD39" i="1"/>
  <c r="S39" i="1"/>
  <c r="AC39" i="1"/>
  <c r="Z39" i="1"/>
  <c r="AB39" i="1"/>
  <c r="AA39" i="1"/>
  <c r="Y39" i="1"/>
  <c r="V39" i="1"/>
  <c r="R39" i="1"/>
  <c r="Q39" i="1"/>
  <c r="N39" i="1"/>
  <c r="J39" i="1"/>
  <c r="K39" i="1"/>
  <c r="I39" i="1"/>
  <c r="F39" i="1"/>
  <c r="G39" i="1"/>
  <c r="AJ38" i="1"/>
  <c r="AD38" i="1"/>
  <c r="S38" i="1"/>
  <c r="AC38" i="1"/>
  <c r="Z38" i="1"/>
  <c r="AB38" i="1"/>
  <c r="AA38" i="1"/>
  <c r="D38" i="1"/>
  <c r="Y38" i="1"/>
  <c r="V38" i="1"/>
  <c r="R38" i="1"/>
  <c r="Q38" i="1"/>
  <c r="N38" i="1"/>
  <c r="K38" i="1"/>
  <c r="I38" i="1"/>
  <c r="F38" i="1"/>
  <c r="G38" i="1"/>
  <c r="AJ37" i="1"/>
  <c r="AD37" i="1"/>
  <c r="S37" i="1"/>
  <c r="AC37" i="1"/>
  <c r="Z37" i="1"/>
  <c r="AB37" i="1"/>
  <c r="AA37" i="1"/>
  <c r="Y37" i="1"/>
  <c r="V37" i="1"/>
  <c r="R37" i="1"/>
  <c r="Q37" i="1"/>
  <c r="N37" i="1"/>
  <c r="J37" i="1"/>
  <c r="K37" i="1"/>
  <c r="I37" i="1"/>
  <c r="F37" i="1"/>
  <c r="G37" i="1"/>
  <c r="AJ36" i="1"/>
  <c r="AD36" i="1"/>
  <c r="S36" i="1"/>
  <c r="AC36" i="1"/>
  <c r="Z36" i="1"/>
  <c r="AB36" i="1"/>
  <c r="AA36" i="1"/>
  <c r="Y36" i="1"/>
  <c r="V36" i="1"/>
  <c r="R36" i="1"/>
  <c r="N36" i="1"/>
  <c r="K36" i="1"/>
  <c r="I36" i="1"/>
  <c r="F36" i="1"/>
  <c r="G36" i="1"/>
  <c r="AJ35" i="1"/>
  <c r="AD35" i="1"/>
  <c r="S35" i="1"/>
  <c r="AC35" i="1"/>
  <c r="Z35" i="1"/>
  <c r="AB35" i="1"/>
  <c r="AA35" i="1"/>
  <c r="Y35" i="1"/>
  <c r="V35" i="1"/>
  <c r="R35" i="1"/>
  <c r="Q35" i="1"/>
  <c r="N35" i="1"/>
  <c r="J35" i="1"/>
  <c r="K35" i="1"/>
  <c r="I35" i="1"/>
  <c r="F35" i="1"/>
  <c r="G35" i="1"/>
  <c r="AJ34" i="1"/>
  <c r="AD34" i="1"/>
  <c r="S34" i="1"/>
  <c r="AC34" i="1"/>
  <c r="Z34" i="1"/>
  <c r="AB34" i="1"/>
  <c r="AA34" i="1"/>
  <c r="Y34" i="1"/>
  <c r="V34" i="1"/>
  <c r="R34" i="1"/>
  <c r="Q34" i="1"/>
  <c r="N34" i="1"/>
  <c r="J34" i="1"/>
  <c r="K34" i="1"/>
  <c r="I34" i="1"/>
  <c r="F34" i="1"/>
  <c r="G34" i="1"/>
  <c r="AJ33" i="1"/>
  <c r="AD33" i="1"/>
  <c r="S33" i="1"/>
  <c r="AC33" i="1"/>
  <c r="Z33" i="1"/>
  <c r="AB33" i="1"/>
  <c r="AA33" i="1"/>
  <c r="Y33" i="1"/>
  <c r="V33" i="1"/>
  <c r="R33" i="1"/>
  <c r="Q33" i="1"/>
  <c r="N33" i="1"/>
  <c r="J33" i="1"/>
  <c r="K33" i="1"/>
  <c r="I33" i="1"/>
  <c r="F33" i="1"/>
  <c r="G33" i="1"/>
  <c r="AJ32" i="1"/>
  <c r="AD32" i="1"/>
  <c r="S32" i="1"/>
  <c r="AC32" i="1"/>
  <c r="Z32" i="1"/>
  <c r="AB32" i="1"/>
  <c r="AA32" i="1"/>
  <c r="Y32" i="1"/>
  <c r="V32" i="1"/>
  <c r="R32" i="1"/>
  <c r="Q32" i="1"/>
  <c r="N32" i="1"/>
  <c r="J32" i="1"/>
  <c r="K32" i="1"/>
  <c r="I32" i="1"/>
  <c r="F32" i="1"/>
  <c r="G32" i="1"/>
  <c r="AJ31" i="1"/>
  <c r="AD31" i="1"/>
  <c r="S31" i="1"/>
  <c r="AC31" i="1"/>
  <c r="Z31" i="1"/>
  <c r="AB31" i="1"/>
  <c r="AA31" i="1"/>
  <c r="Y31" i="1"/>
  <c r="V31" i="1"/>
  <c r="R31" i="1"/>
  <c r="Q31" i="1"/>
  <c r="N31" i="1"/>
  <c r="J31" i="1"/>
  <c r="K31" i="1"/>
  <c r="I31" i="1"/>
  <c r="F31" i="1"/>
  <c r="G31" i="1"/>
  <c r="AJ30" i="1"/>
  <c r="AD30" i="1"/>
  <c r="S30" i="1"/>
  <c r="AC30" i="1"/>
  <c r="Z30" i="1"/>
  <c r="AB30" i="1"/>
  <c r="AA30" i="1"/>
  <c r="Y30" i="1"/>
  <c r="V30" i="1"/>
  <c r="R30" i="1"/>
  <c r="N30" i="1"/>
  <c r="K30" i="1"/>
  <c r="I30" i="1"/>
  <c r="F30" i="1"/>
  <c r="G30" i="1"/>
  <c r="AJ29" i="1"/>
  <c r="AD29" i="1"/>
  <c r="S29" i="1"/>
  <c r="AC29" i="1"/>
  <c r="Z29" i="1"/>
  <c r="AB29" i="1"/>
  <c r="AA29" i="1"/>
  <c r="Y29" i="1"/>
  <c r="V29" i="1"/>
  <c r="R29" i="1"/>
  <c r="Q29" i="1"/>
  <c r="N29" i="1"/>
  <c r="J29" i="1"/>
  <c r="K29" i="1"/>
  <c r="I29" i="1"/>
  <c r="F29" i="1"/>
  <c r="G29" i="1"/>
  <c r="AJ28" i="1"/>
  <c r="AD28" i="1"/>
  <c r="S28" i="1"/>
  <c r="AC28" i="1"/>
  <c r="Z28" i="1"/>
  <c r="AB28" i="1"/>
  <c r="AA28" i="1"/>
  <c r="Y28" i="1"/>
  <c r="V28" i="1"/>
  <c r="R28" i="1"/>
  <c r="Q28" i="1"/>
  <c r="N28" i="1"/>
  <c r="J28" i="1"/>
  <c r="K28" i="1"/>
  <c r="I28" i="1"/>
  <c r="F28" i="1"/>
  <c r="G28" i="1"/>
  <c r="AJ27" i="1"/>
  <c r="AD27" i="1"/>
  <c r="S27" i="1"/>
  <c r="AC27" i="1"/>
  <c r="Z27" i="1"/>
  <c r="AB27" i="1"/>
  <c r="AA27" i="1"/>
  <c r="Y27" i="1"/>
  <c r="V27" i="1"/>
  <c r="R27" i="1"/>
  <c r="Q27" i="1"/>
  <c r="N27" i="1"/>
  <c r="J27" i="1"/>
  <c r="K27" i="1"/>
  <c r="I27" i="1"/>
  <c r="F27" i="1"/>
  <c r="G27" i="1"/>
  <c r="AJ26" i="1"/>
  <c r="AD26" i="1"/>
  <c r="S26" i="1"/>
  <c r="AC26" i="1"/>
  <c r="Z26" i="1"/>
  <c r="AB26" i="1"/>
  <c r="AA26" i="1"/>
  <c r="Y26" i="1"/>
  <c r="V26" i="1"/>
  <c r="R26" i="1"/>
  <c r="Q26" i="1"/>
  <c r="N26" i="1"/>
  <c r="J26" i="1"/>
  <c r="K26" i="1"/>
  <c r="I26" i="1"/>
  <c r="F26" i="1"/>
  <c r="G26" i="1"/>
  <c r="AJ25" i="1"/>
  <c r="AD25" i="1"/>
  <c r="S25" i="1"/>
  <c r="AC25" i="1"/>
  <c r="Z25" i="1"/>
  <c r="AB25" i="1"/>
  <c r="AA25" i="1"/>
  <c r="Y25" i="1"/>
  <c r="V25" i="1"/>
  <c r="R25" i="1"/>
  <c r="Q25" i="1"/>
  <c r="N25" i="1"/>
  <c r="J25" i="1"/>
  <c r="K25" i="1"/>
  <c r="I25" i="1"/>
  <c r="F25" i="1"/>
  <c r="G25" i="1"/>
  <c r="AJ24" i="1"/>
  <c r="AD24" i="1"/>
  <c r="S24" i="1"/>
  <c r="AC24" i="1"/>
  <c r="Z24" i="1"/>
  <c r="AB24" i="1"/>
  <c r="AA24" i="1"/>
  <c r="Y24" i="1"/>
  <c r="V24" i="1"/>
  <c r="R24" i="1"/>
  <c r="Q24" i="1"/>
  <c r="N24" i="1"/>
  <c r="J24" i="1"/>
  <c r="K24" i="1"/>
  <c r="I24" i="1"/>
  <c r="F24" i="1"/>
  <c r="G24" i="1"/>
  <c r="AJ23" i="1"/>
  <c r="AD23" i="1"/>
  <c r="S23" i="1"/>
  <c r="AC23" i="1"/>
  <c r="Z23" i="1"/>
  <c r="AB23" i="1"/>
  <c r="AA23" i="1"/>
  <c r="Y23" i="1"/>
  <c r="V23" i="1"/>
  <c r="R23" i="1"/>
  <c r="Q23" i="1"/>
  <c r="N23" i="1"/>
  <c r="J23" i="1"/>
  <c r="K23" i="1"/>
  <c r="I23" i="1"/>
  <c r="F23" i="1"/>
  <c r="G23" i="1"/>
  <c r="AJ22" i="1"/>
  <c r="AD22" i="1"/>
  <c r="S22" i="1"/>
  <c r="AC22" i="1"/>
  <c r="Z22" i="1"/>
  <c r="AB22" i="1"/>
  <c r="AA22" i="1"/>
  <c r="Y22" i="1"/>
  <c r="V22" i="1"/>
  <c r="R22" i="1"/>
  <c r="Q22" i="1"/>
  <c r="N22" i="1"/>
  <c r="J22" i="1"/>
  <c r="K22" i="1"/>
  <c r="I22" i="1"/>
  <c r="F22" i="1"/>
  <c r="G22" i="1"/>
  <c r="AJ21" i="1"/>
  <c r="AD21" i="1"/>
  <c r="S21" i="1"/>
  <c r="AC21" i="1"/>
  <c r="Z21" i="1"/>
  <c r="AB21" i="1"/>
  <c r="AA21" i="1"/>
  <c r="Y21" i="1"/>
  <c r="V21" i="1"/>
  <c r="R21" i="1"/>
  <c r="Q21" i="1"/>
  <c r="N21" i="1"/>
  <c r="J21" i="1"/>
  <c r="K21" i="1"/>
  <c r="I21" i="1"/>
  <c r="F21" i="1"/>
  <c r="G21" i="1"/>
  <c r="AJ20" i="1"/>
  <c r="AD20" i="1"/>
  <c r="S20" i="1"/>
  <c r="AC20" i="1"/>
  <c r="Z20" i="1"/>
  <c r="AB20" i="1"/>
  <c r="AA20" i="1"/>
  <c r="Y20" i="1"/>
  <c r="V20" i="1"/>
  <c r="R20" i="1"/>
  <c r="Q20" i="1"/>
  <c r="N20" i="1"/>
  <c r="J20" i="1"/>
  <c r="K20" i="1"/>
  <c r="I20" i="1"/>
  <c r="F20" i="1"/>
  <c r="G20" i="1"/>
  <c r="AJ19" i="1"/>
  <c r="AD19" i="1"/>
  <c r="S19" i="1"/>
  <c r="AC19" i="1"/>
  <c r="Z19" i="1"/>
  <c r="AB19" i="1"/>
  <c r="AA19" i="1"/>
  <c r="Y19" i="1"/>
  <c r="V19" i="1"/>
  <c r="R19" i="1"/>
  <c r="Q19" i="1"/>
  <c r="N19" i="1"/>
  <c r="J19" i="1"/>
  <c r="K19" i="1"/>
  <c r="I19" i="1"/>
  <c r="F19" i="1"/>
  <c r="G19" i="1"/>
  <c r="AJ18" i="1"/>
  <c r="AD18" i="1"/>
  <c r="S18" i="1"/>
  <c r="AC18" i="1"/>
  <c r="Z18" i="1"/>
  <c r="AB18" i="1"/>
  <c r="AA18" i="1"/>
  <c r="Y18" i="1"/>
  <c r="V18" i="1"/>
  <c r="R18" i="1"/>
  <c r="N18" i="1"/>
  <c r="K18" i="1"/>
  <c r="I18" i="1"/>
  <c r="F18" i="1"/>
  <c r="G18" i="1"/>
  <c r="AJ17" i="1"/>
  <c r="AD17" i="1"/>
  <c r="S17" i="1"/>
  <c r="AC17" i="1"/>
  <c r="Z17" i="1"/>
  <c r="AB17" i="1"/>
  <c r="AA17" i="1"/>
  <c r="Y17" i="1"/>
  <c r="V17" i="1"/>
  <c r="R17" i="1"/>
  <c r="Q17" i="1"/>
  <c r="N17" i="1"/>
  <c r="J17" i="1"/>
  <c r="K17" i="1"/>
  <c r="I17" i="1"/>
  <c r="F17" i="1"/>
  <c r="G17" i="1"/>
  <c r="AJ16" i="1"/>
  <c r="AD16" i="1"/>
  <c r="S16" i="1"/>
  <c r="AC16" i="1"/>
  <c r="Z16" i="1"/>
  <c r="AB16" i="1"/>
  <c r="AA16" i="1"/>
  <c r="Y16" i="1"/>
  <c r="V16" i="1"/>
  <c r="R16" i="1"/>
  <c r="N16" i="1"/>
  <c r="K16" i="1"/>
  <c r="I16" i="1"/>
  <c r="F16" i="1"/>
  <c r="G16" i="1"/>
  <c r="AJ15" i="1"/>
  <c r="AD15" i="1"/>
  <c r="S15" i="1"/>
  <c r="AC15" i="1"/>
  <c r="Z15" i="1"/>
  <c r="AB15" i="1"/>
  <c r="AA15" i="1"/>
  <c r="Y15" i="1"/>
  <c r="V15" i="1"/>
  <c r="R15" i="1"/>
  <c r="Q15" i="1"/>
  <c r="N15" i="1"/>
  <c r="J15" i="1"/>
  <c r="K15" i="1"/>
  <c r="I15" i="1"/>
  <c r="F15" i="1"/>
  <c r="G15" i="1"/>
  <c r="AJ14" i="1"/>
  <c r="AD14" i="1"/>
  <c r="S14" i="1"/>
  <c r="AC14" i="1"/>
  <c r="Z14" i="1"/>
  <c r="AB14" i="1"/>
  <c r="AA14" i="1"/>
  <c r="Y14" i="1"/>
  <c r="V14" i="1"/>
  <c r="R14" i="1"/>
  <c r="Q14" i="1"/>
  <c r="N14" i="1"/>
  <c r="J14" i="1"/>
  <c r="K14" i="1"/>
  <c r="I14" i="1"/>
  <c r="F14" i="1"/>
  <c r="G14" i="1"/>
  <c r="AJ13" i="1"/>
  <c r="AD13" i="1"/>
  <c r="S13" i="1"/>
  <c r="AC13" i="1"/>
  <c r="Z13" i="1"/>
  <c r="AB13" i="1"/>
  <c r="AA13" i="1"/>
  <c r="Y13" i="1"/>
  <c r="V13" i="1"/>
  <c r="R13" i="1"/>
  <c r="Q13" i="1"/>
  <c r="N13" i="1"/>
  <c r="J13" i="1"/>
  <c r="K13" i="1"/>
  <c r="I13" i="1"/>
  <c r="F13" i="1"/>
  <c r="G13" i="1"/>
  <c r="AJ12" i="1"/>
  <c r="AD12" i="1"/>
  <c r="S12" i="1"/>
  <c r="AC12" i="1"/>
  <c r="Z12" i="1"/>
  <c r="AB12" i="1"/>
  <c r="AA12" i="1"/>
  <c r="Y12" i="1"/>
  <c r="V12" i="1"/>
  <c r="R12" i="1"/>
  <c r="Q12" i="1"/>
  <c r="N12" i="1"/>
  <c r="J12" i="1"/>
  <c r="K12" i="1"/>
  <c r="I12" i="1"/>
  <c r="F12" i="1"/>
  <c r="G12" i="1"/>
  <c r="AJ11" i="1"/>
  <c r="AD11" i="1"/>
  <c r="S11" i="1"/>
  <c r="AC11" i="1"/>
  <c r="Z11" i="1"/>
  <c r="AB11" i="1"/>
  <c r="AA11" i="1"/>
  <c r="Y11" i="1"/>
  <c r="V11" i="1"/>
  <c r="R11" i="1"/>
  <c r="Q11" i="1"/>
  <c r="N11" i="1"/>
  <c r="J11" i="1"/>
  <c r="K11" i="1"/>
  <c r="I11" i="1"/>
  <c r="F11" i="1"/>
  <c r="G11" i="1"/>
  <c r="AJ10" i="1"/>
  <c r="AD10" i="1"/>
  <c r="S10" i="1"/>
  <c r="AC10" i="1"/>
  <c r="Z10" i="1"/>
  <c r="AB10" i="1"/>
  <c r="AA10" i="1"/>
  <c r="Y10" i="1"/>
  <c r="V10" i="1"/>
  <c r="R10" i="1"/>
  <c r="Q10" i="1"/>
  <c r="N10" i="1"/>
  <c r="J10" i="1"/>
  <c r="K10" i="1"/>
  <c r="I10" i="1"/>
  <c r="F10" i="1"/>
  <c r="G10" i="1"/>
  <c r="AJ9" i="1"/>
  <c r="AD9" i="1"/>
  <c r="S9" i="1"/>
  <c r="AC9" i="1"/>
  <c r="Z9" i="1"/>
  <c r="AB9" i="1"/>
  <c r="AA9" i="1"/>
  <c r="Y9" i="1"/>
  <c r="V9" i="1"/>
  <c r="R9" i="1"/>
  <c r="N9" i="1"/>
  <c r="K9" i="1"/>
  <c r="I9" i="1"/>
  <c r="F9" i="1"/>
  <c r="G9" i="1"/>
  <c r="AJ8" i="1"/>
  <c r="AD8" i="1"/>
  <c r="S8" i="1"/>
  <c r="AC8" i="1"/>
  <c r="Z8" i="1"/>
  <c r="AB8" i="1"/>
  <c r="AA8" i="1"/>
  <c r="Y8" i="1"/>
  <c r="V8" i="1"/>
  <c r="R8" i="1"/>
  <c r="Q8" i="1"/>
  <c r="N8" i="1"/>
  <c r="J8" i="1"/>
  <c r="K8" i="1"/>
  <c r="I8" i="1"/>
  <c r="F8" i="1"/>
  <c r="G8" i="1"/>
</calcChain>
</file>

<file path=xl/sharedStrings.xml><?xml version="1.0" encoding="utf-8"?>
<sst xmlns="http://schemas.openxmlformats.org/spreadsheetml/2006/main" count="111" uniqueCount="103">
  <si>
    <t>TOP 50 ESTADÍSTICAS AVANZADAS TEMPORADA 2022 SPB</t>
  </si>
  <si>
    <t xml:space="preserve">RENDIMIENTO DE LOS 50 JUGADORES DE MAYOR GSx40 EN LA TEMPORADA </t>
  </si>
  <si>
    <t xml:space="preserve">NOMBRE </t>
  </si>
  <si>
    <t>PJ</t>
  </si>
  <si>
    <t>MJ</t>
  </si>
  <si>
    <t>P.E.R.</t>
  </si>
  <si>
    <t>EFECTIVIDAD EN</t>
  </si>
  <si>
    <t>TIROS DE CAMPO</t>
  </si>
  <si>
    <t>EN RELACIÓN A LOS</t>
  </si>
  <si>
    <t>3P FG%</t>
  </si>
  <si>
    <t>% TRR</t>
  </si>
  <si>
    <t>OFFENSIVE RATTING</t>
  </si>
  <si>
    <t xml:space="preserve">% TS </t>
  </si>
  <si>
    <t>% eFG</t>
  </si>
  <si>
    <t>FP</t>
  </si>
  <si>
    <t>BLK</t>
  </si>
  <si>
    <t>REC</t>
  </si>
  <si>
    <t xml:space="preserve">% RELACIÓN </t>
  </si>
  <si>
    <t>EFICIENCIA</t>
  </si>
  <si>
    <t>PUNTOS INTENTADOS</t>
  </si>
  <si>
    <t>FG: 2P + 3P</t>
  </si>
  <si>
    <t>TIROS LIBRES</t>
  </si>
  <si>
    <t>TRIPLES</t>
  </si>
  <si>
    <t>REBOTES REAL 40'</t>
  </si>
  <si>
    <t>TOTAL</t>
  </si>
  <si>
    <t>PROM</t>
  </si>
  <si>
    <t>PUNTOS x</t>
  </si>
  <si>
    <t>EFICIENCIA REAL</t>
  </si>
  <si>
    <t>INCIDENCIA OF.</t>
  </si>
  <si>
    <t>ASIST / PÉRD</t>
  </si>
  <si>
    <t>VAL</t>
  </si>
  <si>
    <t>GmSc</t>
  </si>
  <si>
    <t>GSx40'</t>
  </si>
  <si>
    <t>TOT</t>
  </si>
  <si>
    <t>PR</t>
  </si>
  <si>
    <t>INT</t>
  </si>
  <si>
    <t>%</t>
  </si>
  <si>
    <t>CON</t>
  </si>
  <si>
    <t>%RFT</t>
  </si>
  <si>
    <t>x 0,44</t>
  </si>
  <si>
    <t>DEF.</t>
  </si>
  <si>
    <t>OFEN.</t>
  </si>
  <si>
    <t>Rx40'</t>
  </si>
  <si>
    <t>POSEC</t>
  </si>
  <si>
    <t>POSES.</t>
  </si>
  <si>
    <t>POSESIÓN</t>
  </si>
  <si>
    <t>TIROS 1-2-3 Pts</t>
  </si>
  <si>
    <t>TIROS 2 Y 3 Pts</t>
  </si>
  <si>
    <t>ASIS.</t>
  </si>
  <si>
    <t>PÉRD.</t>
  </si>
  <si>
    <t>%A/TO</t>
  </si>
  <si>
    <r>
      <t xml:space="preserve">José VARGAS </t>
    </r>
    <r>
      <rPr>
        <b/>
        <sz val="11"/>
        <color rgb="FFFFFFFF"/>
        <rFont val="Calibri"/>
      </rPr>
      <t>Guaros</t>
    </r>
  </si>
  <si>
    <r>
      <t xml:space="preserve">Marcus THOMAS </t>
    </r>
    <r>
      <rPr>
        <b/>
        <sz val="11"/>
        <color rgb="FFFFFFFF"/>
        <rFont val="Calibri"/>
      </rPr>
      <t>Llaneros</t>
    </r>
    <r>
      <rPr>
        <b/>
        <sz val="11"/>
        <color rgb="FF2F75B6"/>
        <rFont val="Calibri"/>
      </rPr>
      <t xml:space="preserve"> </t>
    </r>
  </si>
  <si>
    <r>
      <t xml:space="preserve">Heldrin GUILLENT </t>
    </r>
    <r>
      <rPr>
        <b/>
        <sz val="11"/>
        <color rgb="FFFFFFFF"/>
        <rFont val="Calibri"/>
      </rPr>
      <t>Guaros</t>
    </r>
  </si>
  <si>
    <r>
      <t xml:space="preserve">Sheldon MAC    </t>
    </r>
    <r>
      <rPr>
        <b/>
        <sz val="11"/>
        <color rgb="FFFFFFFF"/>
        <rFont val="Calibri"/>
      </rPr>
      <t>Gladiadores</t>
    </r>
  </si>
  <si>
    <r>
      <t xml:space="preserve">Carlos CEDEÑO </t>
    </r>
    <r>
      <rPr>
        <b/>
        <sz val="10"/>
        <color rgb="FFFFFFFF"/>
        <rFont val="Calibri"/>
      </rPr>
      <t>Marinos/Brillantes</t>
    </r>
  </si>
  <si>
    <r>
      <t xml:space="preserve">Devon COLLER </t>
    </r>
    <r>
      <rPr>
        <b/>
        <sz val="11"/>
        <color rgb="FFFFFFFF"/>
        <rFont val="Calibri"/>
      </rPr>
      <t>Gladiadores</t>
    </r>
  </si>
  <si>
    <r>
      <t xml:space="preserve">Michael CARRERA  </t>
    </r>
    <r>
      <rPr>
        <b/>
        <sz val="11"/>
        <color rgb="FFFFFFFF"/>
        <rFont val="Calibri"/>
      </rPr>
      <t xml:space="preserve"> Gladiadores</t>
    </r>
  </si>
  <si>
    <r>
      <t xml:space="preserve">Luis DUARTE    </t>
    </r>
    <r>
      <rPr>
        <b/>
        <sz val="11"/>
        <color rgb="FFFFFFFF"/>
        <rFont val="Calibri"/>
      </rPr>
      <t xml:space="preserve"> Gigantes</t>
    </r>
  </si>
  <si>
    <r>
      <t xml:space="preserve">Harold CAZORLA     </t>
    </r>
    <r>
      <rPr>
        <b/>
        <sz val="11"/>
        <color rgb="FFFFFFFF"/>
        <rFont val="Calibri"/>
      </rPr>
      <t>Gigantes</t>
    </r>
  </si>
  <si>
    <r>
      <t xml:space="preserve">Melvin JHONSON  </t>
    </r>
    <r>
      <rPr>
        <b/>
        <sz val="11"/>
        <color rgb="FFFFFFFF"/>
        <rFont val="Calibri"/>
      </rPr>
      <t xml:space="preserve"> Guaiqueríes</t>
    </r>
  </si>
  <si>
    <r>
      <t xml:space="preserve">Keiron DESHIELDS    </t>
    </r>
    <r>
      <rPr>
        <b/>
        <sz val="11"/>
        <color rgb="FFFFFFFF"/>
        <rFont val="Calibri"/>
      </rPr>
      <t xml:space="preserve"> Héroes</t>
    </r>
  </si>
  <si>
    <r>
      <t xml:space="preserve">Garly SOJO   </t>
    </r>
    <r>
      <rPr>
        <b/>
        <sz val="11"/>
        <color rgb="FFFFFFFF"/>
        <rFont val="Calibri"/>
      </rPr>
      <t xml:space="preserve"> Broncos</t>
    </r>
  </si>
  <si>
    <r>
      <t xml:space="preserve">Luis BETHELMY    </t>
    </r>
    <r>
      <rPr>
        <b/>
        <sz val="11"/>
        <color rgb="FFFFFFFF"/>
        <rFont val="Calibri"/>
      </rPr>
      <t>Cocodrilos</t>
    </r>
  </si>
  <si>
    <r>
      <t xml:space="preserve">Damian HOLLIS   </t>
    </r>
    <r>
      <rPr>
        <b/>
        <sz val="11"/>
        <color rgb="FFFFFFFF"/>
        <rFont val="Calibri"/>
      </rPr>
      <t xml:space="preserve"> Piratas</t>
    </r>
  </si>
  <si>
    <r>
      <t xml:space="preserve">George WILLIAMS  </t>
    </r>
    <r>
      <rPr>
        <b/>
        <sz val="11"/>
        <color rgb="FFFFFFFF"/>
        <rFont val="Calibri"/>
      </rPr>
      <t xml:space="preserve"> Marinos</t>
    </r>
  </si>
  <si>
    <r>
      <t xml:space="preserve">Windi GRATEROL   </t>
    </r>
    <r>
      <rPr>
        <b/>
        <sz val="11"/>
        <color rgb="FFFFFFFF"/>
        <rFont val="Calibri"/>
      </rPr>
      <t xml:space="preserve"> Spartans</t>
    </r>
  </si>
  <si>
    <r>
      <t xml:space="preserve">Jhorman ZAMORA </t>
    </r>
    <r>
      <rPr>
        <b/>
        <sz val="11"/>
        <color rgb="FFFFFFFF"/>
        <rFont val="Calibri"/>
      </rPr>
      <t>Trotamundos</t>
    </r>
  </si>
  <si>
    <r>
      <t xml:space="preserve">Quintin ALEXANDER   </t>
    </r>
    <r>
      <rPr>
        <b/>
        <sz val="11"/>
        <color rgb="FFFFFFFF"/>
        <rFont val="Calibri"/>
      </rPr>
      <t>Taurinos</t>
    </r>
  </si>
  <si>
    <r>
      <t xml:space="preserve">Néstor COLMENARES </t>
    </r>
    <r>
      <rPr>
        <b/>
        <sz val="10"/>
        <color rgb="FFFFFFFF"/>
        <rFont val="Calibri"/>
      </rPr>
      <t>Trotamundos</t>
    </r>
  </si>
  <si>
    <r>
      <t xml:space="preserve">Juan GUERRERO   </t>
    </r>
    <r>
      <rPr>
        <b/>
        <sz val="11"/>
        <color rgb="FFFFFFFF"/>
        <rFont val="Calibri"/>
      </rPr>
      <t>Cocodrilos</t>
    </r>
  </si>
  <si>
    <r>
      <t xml:space="preserve">Mussa ABDUL ALEEM   </t>
    </r>
    <r>
      <rPr>
        <b/>
        <sz val="11"/>
        <color rgb="FFFFFFFF"/>
        <rFont val="Calibri"/>
      </rPr>
      <t>Broncos</t>
    </r>
  </si>
  <si>
    <r>
      <t xml:space="preserve">Jhonatan ARAUJO  </t>
    </r>
    <r>
      <rPr>
        <b/>
        <sz val="11"/>
        <color rgb="FFFFFFFF"/>
        <rFont val="Calibri"/>
      </rPr>
      <t xml:space="preserve"> Centauros</t>
    </r>
  </si>
  <si>
    <r>
      <t xml:space="preserve">Alexander ABREU    </t>
    </r>
    <r>
      <rPr>
        <b/>
        <sz val="11"/>
        <color rgb="FFFFFFFF"/>
        <rFont val="Calibri"/>
      </rPr>
      <t>Guaros</t>
    </r>
  </si>
  <si>
    <r>
      <t xml:space="preserve">Tanskley EFIANAYI </t>
    </r>
    <r>
      <rPr>
        <b/>
        <sz val="11"/>
        <color rgb="FFFFFFFF"/>
        <rFont val="Calibri"/>
      </rPr>
      <t xml:space="preserve"> Supersónicos</t>
    </r>
  </si>
  <si>
    <r>
      <t xml:space="preserve">Tray GILDER     </t>
    </r>
    <r>
      <rPr>
        <b/>
        <sz val="11"/>
        <color rgb="FFFFFFFF"/>
        <rFont val="Calibri"/>
      </rPr>
      <t>Gigantes</t>
    </r>
  </si>
  <si>
    <r>
      <t>Elyjah CLARK</t>
    </r>
    <r>
      <rPr>
        <b/>
        <sz val="11"/>
        <color indexed="10"/>
        <rFont val="Calibri"/>
      </rPr>
      <t xml:space="preserve">     </t>
    </r>
    <r>
      <rPr>
        <b/>
        <sz val="11"/>
        <color rgb="FFFFFFFF"/>
        <rFont val="Calibri"/>
      </rPr>
      <t>Gaiteros</t>
    </r>
  </si>
  <si>
    <r>
      <t xml:space="preserve">Antonio PEÑA   </t>
    </r>
    <r>
      <rPr>
        <b/>
        <sz val="11"/>
        <color rgb="FFFFFFFF"/>
        <rFont val="Calibri"/>
      </rPr>
      <t xml:space="preserve"> Brillantes</t>
    </r>
  </si>
  <si>
    <r>
      <t xml:space="preserve">Staphon BLAIR   </t>
    </r>
    <r>
      <rPr>
        <b/>
        <sz val="11"/>
        <color rgb="FFFFFFFF"/>
        <rFont val="Calibri"/>
      </rPr>
      <t xml:space="preserve"> Toros</t>
    </r>
  </si>
  <si>
    <r>
      <t xml:space="preserve">Ramon GALLOWEY   </t>
    </r>
    <r>
      <rPr>
        <b/>
        <sz val="11"/>
        <color rgb="FFFFFFFF"/>
        <rFont val="Calibri"/>
      </rPr>
      <t>Spartans</t>
    </r>
  </si>
  <si>
    <r>
      <t xml:space="preserve">Edson TOVAR    </t>
    </r>
    <r>
      <rPr>
        <b/>
        <sz val="11"/>
        <color rgb="FFFFFFFF"/>
        <rFont val="Calibri"/>
      </rPr>
      <t>Toros</t>
    </r>
  </si>
  <si>
    <r>
      <t xml:space="preserve">Kelvin PEÑA     </t>
    </r>
    <r>
      <rPr>
        <b/>
        <sz val="11"/>
        <color rgb="FFFFFFFF"/>
        <rFont val="Calibri"/>
      </rPr>
      <t>Centauros</t>
    </r>
  </si>
  <si>
    <r>
      <t xml:space="preserve"> Jarred SHAW    </t>
    </r>
    <r>
      <rPr>
        <b/>
        <sz val="11"/>
        <color rgb="FFFFFFFF"/>
        <rFont val="Calibri"/>
      </rPr>
      <t xml:space="preserve"> Gigantes</t>
    </r>
  </si>
  <si>
    <r>
      <t xml:space="preserve">Tamyrik FIELDS    </t>
    </r>
    <r>
      <rPr>
        <b/>
        <sz val="11"/>
        <color rgb="FFFFFFFF"/>
        <rFont val="Calibri"/>
      </rPr>
      <t xml:space="preserve"> Piratas</t>
    </r>
  </si>
  <si>
    <r>
      <t xml:space="preserve">Jack M. MARTÍNEZ   </t>
    </r>
    <r>
      <rPr>
        <b/>
        <sz val="11"/>
        <color rgb="FFFFFFFF"/>
        <rFont val="Calibri"/>
      </rPr>
      <t xml:space="preserve"> Marinos</t>
    </r>
  </si>
  <si>
    <r>
      <t xml:space="preserve">Nicholas WADELL   </t>
    </r>
    <r>
      <rPr>
        <b/>
        <sz val="11"/>
        <color rgb="FFFFFFFF"/>
        <rFont val="Calibri"/>
      </rPr>
      <t>Cangrejeros</t>
    </r>
  </si>
  <si>
    <r>
      <t xml:space="preserve">Luis MONTERO    </t>
    </r>
    <r>
      <rPr>
        <b/>
        <sz val="11"/>
        <color rgb="FFFFFFFF"/>
        <rFont val="Calibri"/>
      </rPr>
      <t>Cocodrilos</t>
    </r>
  </si>
  <si>
    <r>
      <t xml:space="preserve">Anthony YOUNG  </t>
    </r>
    <r>
      <rPr>
        <b/>
        <sz val="11"/>
        <color rgb="FFFFFFFF"/>
        <rFont val="Calibri"/>
      </rPr>
      <t xml:space="preserve"> Guaiqueríes</t>
    </r>
  </si>
  <si>
    <r>
      <t xml:space="preserve">Ronald DELPH    </t>
    </r>
    <r>
      <rPr>
        <b/>
        <sz val="11"/>
        <color rgb="FFFFFFFF"/>
        <rFont val="Calibri"/>
      </rPr>
      <t>Marinos</t>
    </r>
  </si>
  <si>
    <r>
      <t xml:space="preserve">José ASCANIO    </t>
    </r>
    <r>
      <rPr>
        <b/>
        <sz val="11"/>
        <color rgb="FFFFFFFF"/>
        <rFont val="Calibri"/>
      </rPr>
      <t>Guaiqueríes</t>
    </r>
  </si>
  <si>
    <r>
      <t xml:space="preserve">Kostas VASILEIADIS  </t>
    </r>
    <r>
      <rPr>
        <b/>
        <sz val="11"/>
        <color rgb="FFFFFFFF"/>
        <rFont val="Calibri"/>
      </rPr>
      <t xml:space="preserve"> Marinos</t>
    </r>
  </si>
  <si>
    <r>
      <t xml:space="preserve">Jesús MARTÍNEZ   </t>
    </r>
    <r>
      <rPr>
        <b/>
        <sz val="11"/>
        <color rgb="FFFFFFFF"/>
        <rFont val="Calibri"/>
      </rPr>
      <t>Gladiadores</t>
    </r>
  </si>
  <si>
    <r>
      <t xml:space="preserve">Gelvis SOLANO     </t>
    </r>
    <r>
      <rPr>
        <b/>
        <sz val="11"/>
        <color rgb="FFFFFFFF"/>
        <rFont val="Calibri"/>
      </rPr>
      <t>Cocodrilos</t>
    </r>
  </si>
  <si>
    <r>
      <t xml:space="preserve">Alcides MARTÍNEZ    </t>
    </r>
    <r>
      <rPr>
        <b/>
        <sz val="11"/>
        <color rgb="FFFFFFFF"/>
        <rFont val="Calibri"/>
      </rPr>
      <t>Gaiteros</t>
    </r>
  </si>
  <si>
    <r>
      <t xml:space="preserve">Willy WARREN    </t>
    </r>
    <r>
      <rPr>
        <b/>
        <sz val="11"/>
        <color rgb="FFFFFFFF"/>
        <rFont val="Calibri"/>
      </rPr>
      <t xml:space="preserve"> Piratas</t>
    </r>
  </si>
  <si>
    <r>
      <t xml:space="preserve">Davion BERRY     </t>
    </r>
    <r>
      <rPr>
        <b/>
        <sz val="11"/>
        <color rgb="FFFFFFFF"/>
        <rFont val="Calibri"/>
      </rPr>
      <t>Héroes</t>
    </r>
  </si>
  <si>
    <r>
      <t xml:space="preserve">Yohanner SIFONTES    </t>
    </r>
    <r>
      <rPr>
        <b/>
        <sz val="11"/>
        <color rgb="FFFFFFFF"/>
        <rFont val="Calibri"/>
      </rPr>
      <t>Spartans</t>
    </r>
  </si>
  <si>
    <r>
      <t xml:space="preserve">Carlos RODRIGUEZ   </t>
    </r>
    <r>
      <rPr>
        <b/>
        <sz val="11"/>
        <color rgb="FFFFFFFF"/>
        <rFont val="Calibri"/>
      </rPr>
      <t xml:space="preserve">  Llaneros</t>
    </r>
  </si>
  <si>
    <r>
      <t xml:space="preserve">Heisslent GUILLENT  </t>
    </r>
    <r>
      <rPr>
        <b/>
        <sz val="11"/>
        <color rgb="FFFFFFFF"/>
        <rFont val="Calibri"/>
      </rPr>
      <t xml:space="preserve"> Guaiqueríes</t>
    </r>
  </si>
  <si>
    <r>
      <t xml:space="preserve"> Jamelle HAGINS   </t>
    </r>
    <r>
      <rPr>
        <b/>
        <sz val="11"/>
        <color rgb="FFFFFFFF"/>
        <rFont val="Calibri"/>
      </rPr>
      <t xml:space="preserve"> Guaiqueríes</t>
    </r>
  </si>
  <si>
    <r>
      <t xml:space="preserve">Leandro VILDOZA   </t>
    </r>
    <r>
      <rPr>
        <b/>
        <sz val="11"/>
        <color rgb="FFFFFFFF"/>
        <rFont val="Calibri"/>
      </rPr>
      <t>Supersónicos</t>
    </r>
  </si>
  <si>
    <r>
      <rPr>
        <b/>
        <u/>
        <sz val="11"/>
        <rFont val="Calibri"/>
      </rPr>
      <t>NOTA</t>
    </r>
    <r>
      <rPr>
        <b/>
        <sz val="11"/>
        <rFont val="Calibri"/>
      </rPr>
      <t>: Fueron tomandos en cuenta, aquellos jugadores con un mínimo de 10 partidos disputados en la competencia.</t>
    </r>
  </si>
  <si>
    <t>FUENTE: LATINBASKET.COM / PELOTABINARIA.COM.VE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</si>
</sst>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0.000"/>
    <numFmt numFmtId="167" formatCode="0.0000"/>
  </numFmts>
  <fonts count="24">
    <font>
      <sz val="11"/>
      <name val="Calibri"/>
    </font>
    <font>
      <sz val="11"/>
      <color rgb="FF000000"/>
      <name val="Calibri"/>
    </font>
    <font>
      <sz val="11"/>
      <color rgb="FF000054"/>
      <name val="Calibri"/>
    </font>
    <font>
      <sz val="24"/>
      <color rgb="FFF66400"/>
      <name val="Bernard MT Condensed"/>
    </font>
    <font>
      <sz val="24"/>
      <color rgb="FFFFFFFF"/>
      <name val="Bernard MT Condensed"/>
    </font>
    <font>
      <b/>
      <sz val="13"/>
      <color rgb="FFF66400"/>
      <name val="Calibri Light"/>
    </font>
    <font>
      <b/>
      <sz val="14"/>
      <name val="Calibri"/>
    </font>
    <font>
      <b/>
      <sz val="8"/>
      <name val="Arial"/>
    </font>
    <font>
      <b/>
      <sz val="11"/>
      <color rgb="FFFFFFFF"/>
      <name val="Calibri"/>
    </font>
    <font>
      <b/>
      <sz val="11"/>
      <name val="Calibri"/>
    </font>
    <font>
      <b/>
      <sz val="12"/>
      <name val="Calibri"/>
    </font>
    <font>
      <b/>
      <sz val="12"/>
      <color rgb="FF435369"/>
      <name val="Calibri"/>
    </font>
    <font>
      <b/>
      <sz val="13"/>
      <color rgb="FF002060"/>
      <name val="Calibri"/>
    </font>
    <font>
      <b/>
      <sz val="13"/>
      <name val="Calibri"/>
    </font>
    <font>
      <b/>
      <sz val="10"/>
      <color rgb="FF00003A"/>
      <name val="Calibri"/>
    </font>
    <font>
      <b/>
      <sz val="11"/>
      <color rgb="FF00003A"/>
      <name val="Calibri"/>
    </font>
    <font>
      <b/>
      <sz val="13"/>
      <color rgb="FF435369"/>
      <name val="Calibri"/>
    </font>
    <font>
      <b/>
      <sz val="14"/>
      <color rgb="FF212934"/>
      <name val="Calibri"/>
    </font>
    <font>
      <b/>
      <sz val="12"/>
      <color rgb="FF584100"/>
      <name val="Calibri"/>
    </font>
    <font>
      <sz val="11"/>
      <color rgb="FF7F7F7F"/>
      <name val="Calibri"/>
    </font>
    <font>
      <b/>
      <sz val="11"/>
      <color rgb="FF2F75B6"/>
      <name val="Calibri"/>
    </font>
    <font>
      <b/>
      <sz val="10"/>
      <color rgb="FFFFFFFF"/>
      <name val="Calibri"/>
    </font>
    <font>
      <b/>
      <sz val="11"/>
      <color indexed="10"/>
      <name val="Calibri"/>
    </font>
    <font>
      <b/>
      <u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003A"/>
        <bgColor indexed="64"/>
      </patternFill>
    </fill>
    <fill>
      <patternFill patternType="solid">
        <fgColor rgb="FFF664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0" fontId="7" fillId="3" borderId="3" xfId="0" applyNumberFormat="1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 vertical="center" wrapText="1"/>
    </xf>
    <xf numFmtId="2" fontId="10" fillId="4" borderId="3" xfId="0" applyNumberFormat="1" applyFont="1" applyFill="1" applyBorder="1" applyAlignment="1">
      <alignment horizontal="center" vertical="center" wrapText="1"/>
    </xf>
    <xf numFmtId="2" fontId="11" fillId="4" borderId="3" xfId="0" applyNumberFormat="1" applyFont="1" applyFill="1" applyBorder="1" applyAlignment="1">
      <alignment horizontal="center" vertical="center" wrapText="1"/>
    </xf>
    <xf numFmtId="2" fontId="12" fillId="4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164" fontId="13" fillId="4" borderId="3" xfId="0" applyNumberFormat="1" applyFont="1" applyFill="1" applyBorder="1" applyAlignment="1">
      <alignment horizontal="center" vertical="center" wrapText="1"/>
    </xf>
    <xf numFmtId="165" fontId="14" fillId="4" borderId="3" xfId="0" applyNumberFormat="1" applyFont="1" applyFill="1" applyBorder="1" applyAlignment="1">
      <alignment horizontal="center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0" fontId="16" fillId="4" borderId="3" xfId="0" applyNumberFormat="1" applyFont="1" applyFill="1" applyBorder="1" applyAlignment="1">
      <alignment horizontal="center" vertical="center" wrapText="1"/>
    </xf>
    <xf numFmtId="164" fontId="9" fillId="4" borderId="3" xfId="0" applyNumberFormat="1" applyFont="1" applyFill="1" applyBorder="1" applyAlignment="1">
      <alignment horizontal="center" vertical="center" wrapText="1"/>
    </xf>
    <xf numFmtId="2" fontId="13" fillId="4" borderId="3" xfId="0" applyNumberFormat="1" applyFont="1" applyFill="1" applyBorder="1" applyAlignment="1">
      <alignment horizontal="center" vertical="center" wrapText="1"/>
    </xf>
    <xf numFmtId="166" fontId="17" fillId="4" borderId="3" xfId="0" applyNumberFormat="1" applyFont="1" applyFill="1" applyBorder="1" applyAlignment="1">
      <alignment horizontal="center" vertical="center" wrapText="1"/>
    </xf>
    <xf numFmtId="167" fontId="13" fillId="4" borderId="3" xfId="0" applyNumberFormat="1" applyFont="1" applyFill="1" applyBorder="1" applyAlignment="1">
      <alignment horizontal="center" vertical="center" wrapText="1"/>
    </xf>
    <xf numFmtId="167" fontId="12" fillId="4" borderId="3" xfId="0" applyNumberFormat="1" applyFont="1" applyFill="1" applyBorder="1" applyAlignment="1">
      <alignment horizontal="center" vertical="center" wrapText="1"/>
    </xf>
    <xf numFmtId="166" fontId="18" fillId="4" borderId="3" xfId="0" applyNumberFormat="1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center" vertical="center" wrapText="1"/>
    </xf>
    <xf numFmtId="2" fontId="10" fillId="3" borderId="3" xfId="0" applyNumberFormat="1" applyFont="1" applyFill="1" applyBorder="1" applyAlignment="1">
      <alignment horizontal="center" vertical="center" wrapText="1"/>
    </xf>
    <xf numFmtId="2" fontId="11" fillId="3" borderId="3" xfId="0" applyNumberFormat="1" applyFont="1" applyFill="1" applyBorder="1" applyAlignment="1">
      <alignment horizontal="center" vertical="center" wrapText="1"/>
    </xf>
    <xf numFmtId="2" fontId="12" fillId="3" borderId="3" xfId="0" applyNumberFormat="1" applyFont="1" applyFill="1" applyBorder="1" applyAlignment="1">
      <alignment horizontal="center" vertical="center" wrapText="1"/>
    </xf>
    <xf numFmtId="1" fontId="9" fillId="3" borderId="3" xfId="0" applyNumberFormat="1" applyFont="1" applyFill="1" applyBorder="1" applyAlignment="1">
      <alignment horizontal="center" vertical="center" wrapText="1"/>
    </xf>
    <xf numFmtId="164" fontId="13" fillId="3" borderId="3" xfId="0" applyNumberFormat="1" applyFont="1" applyFill="1" applyBorder="1" applyAlignment="1">
      <alignment horizontal="center" vertical="center" wrapText="1"/>
    </xf>
    <xf numFmtId="165" fontId="14" fillId="3" borderId="3" xfId="0" applyNumberFormat="1" applyFont="1" applyFill="1" applyBorder="1" applyAlignment="1">
      <alignment horizontal="center" vertical="center" wrapText="1"/>
    </xf>
    <xf numFmtId="165" fontId="15" fillId="3" borderId="3" xfId="0" applyNumberFormat="1" applyFont="1" applyFill="1" applyBorder="1" applyAlignment="1">
      <alignment horizontal="center" vertical="center" wrapText="1"/>
    </xf>
    <xf numFmtId="10" fontId="16" fillId="3" borderId="3" xfId="0" applyNumberFormat="1" applyFont="1" applyFill="1" applyBorder="1" applyAlignment="1">
      <alignment horizontal="center" vertical="center" wrapText="1"/>
    </xf>
    <xf numFmtId="164" fontId="9" fillId="3" borderId="3" xfId="0" applyNumberFormat="1" applyFont="1" applyFill="1" applyBorder="1" applyAlignment="1">
      <alignment horizontal="center" vertical="center" wrapText="1"/>
    </xf>
    <xf numFmtId="2" fontId="13" fillId="3" borderId="3" xfId="0" applyNumberFormat="1" applyFont="1" applyFill="1" applyBorder="1" applyAlignment="1">
      <alignment horizontal="center" vertical="center" wrapText="1"/>
    </xf>
    <xf numFmtId="166" fontId="17" fillId="3" borderId="3" xfId="0" applyNumberFormat="1" applyFont="1" applyFill="1" applyBorder="1" applyAlignment="1">
      <alignment horizontal="center" vertical="center" wrapText="1"/>
    </xf>
    <xf numFmtId="167" fontId="13" fillId="3" borderId="3" xfId="0" applyNumberFormat="1" applyFont="1" applyFill="1" applyBorder="1" applyAlignment="1">
      <alignment horizontal="center" vertical="center" wrapText="1"/>
    </xf>
    <xf numFmtId="167" fontId="12" fillId="3" borderId="3" xfId="0" applyNumberFormat="1" applyFont="1" applyFill="1" applyBorder="1" applyAlignment="1">
      <alignment horizontal="center" vertical="center" wrapText="1"/>
    </xf>
    <xf numFmtId="166" fontId="18" fillId="3" borderId="3" xfId="0" applyNumberFormat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vertical="center" wrapText="1"/>
    </xf>
    <xf numFmtId="9" fontId="15" fillId="3" borderId="3" xfId="0" applyNumberFormat="1" applyFont="1" applyFill="1" applyBorder="1" applyAlignment="1">
      <alignment horizontal="center" vertical="center" wrapText="1"/>
    </xf>
    <xf numFmtId="164" fontId="9" fillId="3" borderId="3" xfId="0" applyNumberFormat="1" applyFont="1" applyFill="1" applyBorder="1" applyAlignment="1">
      <alignment horizontal="left" vertical="center" wrapText="1"/>
    </xf>
    <xf numFmtId="9" fontId="15" fillId="4" borderId="3" xfId="0" applyNumberFormat="1" applyFont="1" applyFill="1" applyBorder="1" applyAlignment="1">
      <alignment horizontal="center" vertical="center" wrapText="1"/>
    </xf>
    <xf numFmtId="0" fontId="19" fillId="5" borderId="0" xfId="0" applyFont="1" applyFill="1" applyAlignment="1"/>
    <xf numFmtId="0" fontId="9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420572</xdr:colOff>
      <xdr:row>0</xdr:row>
      <xdr:rowOff>164938</xdr:rowOff>
    </xdr:from>
    <xdr:to>
      <xdr:col>33</xdr:col>
      <xdr:colOff>61123</xdr:colOff>
      <xdr:row>3</xdr:row>
      <xdr:rowOff>164938</xdr:rowOff>
    </xdr:to>
    <xdr:pic>
      <xdr:nvPicPr>
        <xdr:cNvPr id="2" name="Imagen 102" descr="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111232" y="172845"/>
          <a:ext cx="1395485" cy="89171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1475100</xdr:colOff>
      <xdr:row>0</xdr:row>
      <xdr:rowOff>139563</xdr:rowOff>
    </xdr:from>
    <xdr:to>
      <xdr:col>4</xdr:col>
      <xdr:colOff>87927</xdr:colOff>
      <xdr:row>3</xdr:row>
      <xdr:rowOff>139563</xdr:rowOff>
    </xdr:to>
    <xdr:pic>
      <xdr:nvPicPr>
        <xdr:cNvPr id="3" name="Imagen 102" descr="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36911" y="149411"/>
          <a:ext cx="1395485" cy="89171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9"/>
  <sheetViews>
    <sheetView tabSelected="1" zoomScale="51" workbookViewId="0">
      <selection activeCell="AO4" sqref="AO4"/>
    </sheetView>
  </sheetViews>
  <sheetFormatPr defaultColWidth="10" defaultRowHeight="15"/>
  <cols>
    <col min="1" max="1" width="3.85546875" customWidth="1"/>
    <col min="2" max="2" width="32.140625" customWidth="1"/>
    <col min="3" max="4" width="4.7109375" customWidth="1"/>
    <col min="5" max="5" width="6.5703125" style="1" customWidth="1"/>
    <col min="6" max="6" width="6.7109375" style="1" customWidth="1"/>
    <col min="7" max="7" width="6.85546875" style="1" customWidth="1"/>
    <col min="8" max="8" width="4.28515625" style="1" customWidth="1"/>
    <col min="9" max="11" width="5.7109375" style="1" customWidth="1"/>
    <col min="12" max="13" width="4.7109375" style="1" customWidth="1"/>
    <col min="14" max="14" width="6.42578125" style="1" customWidth="1"/>
    <col min="15" max="16" width="4.7109375" style="1" customWidth="1"/>
    <col min="17" max="17" width="6.42578125" style="1" customWidth="1"/>
    <col min="18" max="18" width="8.7109375" style="1" customWidth="1"/>
    <col min="19" max="19" width="5.28515625" style="1" customWidth="1"/>
    <col min="20" max="21" width="4.7109375" style="1" customWidth="1"/>
    <col min="22" max="22" width="7.28515625" style="1" customWidth="1"/>
    <col min="23" max="24" width="5" style="1" customWidth="1"/>
    <col min="25" max="25" width="8.7109375" style="1" customWidth="1"/>
    <col min="26" max="26" width="6" style="1" customWidth="1"/>
    <col min="27" max="27" width="7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36" ht="23.25" customHeight="1">
      <c r="A1" s="51"/>
      <c r="B1" s="51"/>
      <c r="C1" s="55" t="s">
        <v>0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4"/>
      <c r="AF1" s="54"/>
      <c r="AG1" s="54"/>
      <c r="AH1" s="54"/>
      <c r="AI1" s="54"/>
      <c r="AJ1" s="54"/>
    </row>
    <row r="2" spans="1:36" ht="23.25" customHeight="1">
      <c r="A2" s="51"/>
      <c r="B2" s="51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4"/>
      <c r="AF2" s="54"/>
      <c r="AG2" s="54"/>
      <c r="AH2" s="54"/>
      <c r="AI2" s="54"/>
      <c r="AJ2" s="54"/>
    </row>
    <row r="3" spans="1:36" ht="23.25" customHeight="1">
      <c r="A3" s="51"/>
      <c r="B3" s="51"/>
      <c r="C3" s="50" t="s">
        <v>1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4"/>
      <c r="AF3" s="54"/>
      <c r="AG3" s="54"/>
      <c r="AH3" s="54"/>
      <c r="AI3" s="54"/>
      <c r="AJ3" s="54"/>
    </row>
    <row r="4" spans="1:36" ht="23.25" customHeight="1">
      <c r="A4" s="51"/>
      <c r="B4" s="51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4"/>
      <c r="AF4" s="54"/>
      <c r="AG4" s="54"/>
      <c r="AH4" s="54"/>
      <c r="AI4" s="54"/>
      <c r="AJ4" s="54"/>
    </row>
    <row r="5" spans="1:36" ht="14.25" customHeight="1">
      <c r="A5" s="56" t="s">
        <v>2</v>
      </c>
      <c r="B5" s="57"/>
      <c r="C5" s="52" t="s">
        <v>3</v>
      </c>
      <c r="D5" s="52" t="s">
        <v>4</v>
      </c>
      <c r="E5" s="53" t="s">
        <v>5</v>
      </c>
      <c r="F5" s="53"/>
      <c r="G5" s="53"/>
      <c r="H5" s="52" t="s">
        <v>6</v>
      </c>
      <c r="I5" s="52"/>
      <c r="J5" s="52"/>
      <c r="K5" s="52"/>
      <c r="L5" s="53" t="s">
        <v>7</v>
      </c>
      <c r="M5" s="53"/>
      <c r="N5" s="53"/>
      <c r="O5" s="53" t="s">
        <v>8</v>
      </c>
      <c r="P5" s="53"/>
      <c r="Q5" s="53"/>
      <c r="R5" s="53"/>
      <c r="S5" s="53"/>
      <c r="T5" s="53" t="s">
        <v>9</v>
      </c>
      <c r="U5" s="53"/>
      <c r="V5" s="53"/>
      <c r="W5" s="53" t="s">
        <v>10</v>
      </c>
      <c r="X5" s="53"/>
      <c r="Y5" s="53"/>
      <c r="Z5" s="53" t="s">
        <v>11</v>
      </c>
      <c r="AA5" s="53"/>
      <c r="AB5" s="53"/>
      <c r="AC5" s="2" t="s">
        <v>12</v>
      </c>
      <c r="AD5" s="2" t="s">
        <v>13</v>
      </c>
      <c r="AE5" s="53" t="s">
        <v>14</v>
      </c>
      <c r="AF5" s="53" t="s">
        <v>15</v>
      </c>
      <c r="AG5" s="53" t="s">
        <v>16</v>
      </c>
      <c r="AH5" s="52" t="s">
        <v>17</v>
      </c>
      <c r="AI5" s="52"/>
      <c r="AJ5" s="52"/>
    </row>
    <row r="6" spans="1:36">
      <c r="A6" s="58"/>
      <c r="B6" s="59"/>
      <c r="C6" s="52"/>
      <c r="D6" s="52"/>
      <c r="E6" s="52" t="s">
        <v>18</v>
      </c>
      <c r="F6" s="52"/>
      <c r="G6" s="52"/>
      <c r="H6" s="52" t="s">
        <v>19</v>
      </c>
      <c r="I6" s="52"/>
      <c r="J6" s="52"/>
      <c r="K6" s="52"/>
      <c r="L6" s="52" t="s">
        <v>20</v>
      </c>
      <c r="M6" s="52"/>
      <c r="N6" s="52"/>
      <c r="O6" s="53" t="s">
        <v>21</v>
      </c>
      <c r="P6" s="53"/>
      <c r="Q6" s="53"/>
      <c r="R6" s="53"/>
      <c r="S6" s="53"/>
      <c r="T6" s="53" t="s">
        <v>22</v>
      </c>
      <c r="U6" s="53"/>
      <c r="V6" s="53"/>
      <c r="W6" s="53" t="s">
        <v>23</v>
      </c>
      <c r="X6" s="53"/>
      <c r="Y6" s="53"/>
      <c r="Z6" s="3" t="s">
        <v>24</v>
      </c>
      <c r="AA6" s="3" t="s">
        <v>25</v>
      </c>
      <c r="AB6" s="3" t="s">
        <v>26</v>
      </c>
      <c r="AC6" s="3" t="s">
        <v>27</v>
      </c>
      <c r="AD6" s="3" t="s">
        <v>28</v>
      </c>
      <c r="AE6" s="53"/>
      <c r="AF6" s="53"/>
      <c r="AG6" s="53"/>
      <c r="AH6" s="52" t="s">
        <v>29</v>
      </c>
      <c r="AI6" s="52"/>
      <c r="AJ6" s="52"/>
    </row>
    <row r="7" spans="1:36">
      <c r="A7" s="60"/>
      <c r="B7" s="61"/>
      <c r="C7" s="52"/>
      <c r="D7" s="52"/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35</v>
      </c>
      <c r="N7" s="3" t="s">
        <v>36</v>
      </c>
      <c r="O7" s="3" t="s">
        <v>35</v>
      </c>
      <c r="P7" s="3" t="s">
        <v>37</v>
      </c>
      <c r="Q7" s="3" t="s">
        <v>36</v>
      </c>
      <c r="R7" s="3" t="s">
        <v>38</v>
      </c>
      <c r="S7" s="4" t="s">
        <v>39</v>
      </c>
      <c r="T7" s="3" t="s">
        <v>37</v>
      </c>
      <c r="U7" s="3" t="s">
        <v>35</v>
      </c>
      <c r="V7" s="3" t="s">
        <v>36</v>
      </c>
      <c r="W7" s="3" t="s">
        <v>40</v>
      </c>
      <c r="X7" s="3" t="s">
        <v>41</v>
      </c>
      <c r="Y7" s="3" t="s">
        <v>42</v>
      </c>
      <c r="Z7" s="3" t="s">
        <v>43</v>
      </c>
      <c r="AA7" s="3" t="s">
        <v>44</v>
      </c>
      <c r="AB7" s="3" t="s">
        <v>45</v>
      </c>
      <c r="AC7" s="3" t="s">
        <v>46</v>
      </c>
      <c r="AD7" s="3" t="s">
        <v>47</v>
      </c>
      <c r="AE7" s="53"/>
      <c r="AF7" s="53"/>
      <c r="AG7" s="53"/>
      <c r="AH7" s="3" t="s">
        <v>48</v>
      </c>
      <c r="AI7" s="3" t="s">
        <v>49</v>
      </c>
      <c r="AJ7" s="3" t="s">
        <v>50</v>
      </c>
    </row>
    <row r="8" spans="1:36" ht="18.75">
      <c r="A8" s="5">
        <v>1</v>
      </c>
      <c r="B8" s="6" t="s">
        <v>51</v>
      </c>
      <c r="C8" s="7">
        <v>23</v>
      </c>
      <c r="D8" s="7">
        <v>311</v>
      </c>
      <c r="E8" s="8">
        <v>16.2</v>
      </c>
      <c r="F8" s="9">
        <f t="shared" ref="F8:F41" si="0">(H8+(0.4*L8)-(0.7*M8)-(0.4*(O8-P8))+(0.7*X8)+(0.3*W8)+AG8+(0.7*AH8)+(0.7*AF8)-(0.4*AE8)-AI8)/C8</f>
        <v>9.4521739130434792</v>
      </c>
      <c r="G8" s="10">
        <f t="shared" ref="G8:G41" si="1">F8*40/(D8/C8)</f>
        <v>27.961414790996788</v>
      </c>
      <c r="H8" s="11">
        <v>291</v>
      </c>
      <c r="I8" s="12">
        <f t="shared" ref="I8:I41" si="2">H8/C8</f>
        <v>12.652173913043478</v>
      </c>
      <c r="J8" s="11">
        <f>276+(U8*3)+O8</f>
        <v>713</v>
      </c>
      <c r="K8" s="13">
        <f t="shared" ref="K8:K41" si="3">H8/J8</f>
        <v>0.40813464235624125</v>
      </c>
      <c r="L8" s="7">
        <v>102</v>
      </c>
      <c r="M8" s="7">
        <v>261</v>
      </c>
      <c r="N8" s="14">
        <f t="shared" ref="N8:N41" si="4">L8/M8</f>
        <v>0.39080459770114945</v>
      </c>
      <c r="O8" s="7">
        <v>68</v>
      </c>
      <c r="P8" s="7">
        <v>54</v>
      </c>
      <c r="Q8" s="14">
        <f>54/68</f>
        <v>0.79411764705882348</v>
      </c>
      <c r="R8" s="15">
        <f t="shared" ref="R8:R41" si="5">O8/M8</f>
        <v>0.26053639846743293</v>
      </c>
      <c r="S8" s="16">
        <f t="shared" ref="S8:S41" si="6">O8*0.44</f>
        <v>29.92</v>
      </c>
      <c r="T8" s="7">
        <v>33</v>
      </c>
      <c r="U8" s="7">
        <v>123</v>
      </c>
      <c r="V8" s="14">
        <f t="shared" ref="V8:V40" si="7">T8/U8</f>
        <v>0.26829268292682928</v>
      </c>
      <c r="W8" s="11">
        <v>162</v>
      </c>
      <c r="X8" s="11">
        <v>17</v>
      </c>
      <c r="Y8" s="17">
        <f t="shared" ref="Y8:Y41" si="8">((W8+X8)/D8)*40</f>
        <v>23.022508038585208</v>
      </c>
      <c r="Z8" s="11">
        <f t="shared" ref="Z8:Z41" si="9">M8+S8+AI8</f>
        <v>349.92</v>
      </c>
      <c r="AA8" s="10">
        <f t="shared" ref="AA8:AA41" si="10">Z8/C8</f>
        <v>15.213913043478261</v>
      </c>
      <c r="AB8" s="18">
        <f t="shared" ref="AB8:AB41" si="11">H8/Z8</f>
        <v>0.83161865569272975</v>
      </c>
      <c r="AC8" s="19">
        <f t="shared" ref="AC8:AC41" si="12">H8/(2*(S8+M8))</f>
        <v>0.50013749484394332</v>
      </c>
      <c r="AD8" s="20">
        <f t="shared" ref="AD8:AD41" si="13">((T8*0.5)+L8)/M8</f>
        <v>0.45402298850574713</v>
      </c>
      <c r="AE8" s="11">
        <v>60</v>
      </c>
      <c r="AF8" s="11">
        <v>10</v>
      </c>
      <c r="AG8" s="11">
        <v>25</v>
      </c>
      <c r="AH8" s="7">
        <v>92</v>
      </c>
      <c r="AI8" s="7">
        <v>59</v>
      </c>
      <c r="AJ8" s="21">
        <f t="shared" ref="AJ8:AJ41" si="14">AH8/AI8</f>
        <v>1.5593220338983051</v>
      </c>
    </row>
    <row r="9" spans="1:36" ht="18.75">
      <c r="A9" s="22">
        <v>2</v>
      </c>
      <c r="B9" s="23" t="s">
        <v>52</v>
      </c>
      <c r="C9" s="24">
        <v>22</v>
      </c>
      <c r="D9" s="24">
        <v>668</v>
      </c>
      <c r="E9" s="25">
        <v>21.5</v>
      </c>
      <c r="F9" s="26">
        <f t="shared" si="0"/>
        <v>14.83181818181818</v>
      </c>
      <c r="G9" s="27">
        <f t="shared" si="1"/>
        <v>19.538922155688621</v>
      </c>
      <c r="H9" s="28">
        <v>457</v>
      </c>
      <c r="I9" s="29">
        <f t="shared" si="2"/>
        <v>20.772727272727273</v>
      </c>
      <c r="J9" s="28">
        <v>801</v>
      </c>
      <c r="K9" s="30">
        <f t="shared" si="3"/>
        <v>0.57053682896379521</v>
      </c>
      <c r="L9" s="24">
        <v>147</v>
      </c>
      <c r="M9" s="24">
        <v>278</v>
      </c>
      <c r="N9" s="31">
        <f t="shared" si="4"/>
        <v>0.52877697841726623</v>
      </c>
      <c r="O9" s="24">
        <v>154</v>
      </c>
      <c r="P9" s="24">
        <v>126</v>
      </c>
      <c r="Q9" s="31">
        <v>0.81399999999999995</v>
      </c>
      <c r="R9" s="32">
        <f t="shared" si="5"/>
        <v>0.5539568345323741</v>
      </c>
      <c r="S9" s="33">
        <f t="shared" si="6"/>
        <v>67.760000000000005</v>
      </c>
      <c r="T9" s="24">
        <v>37</v>
      </c>
      <c r="U9" s="24">
        <v>91</v>
      </c>
      <c r="V9" s="31">
        <f t="shared" si="7"/>
        <v>0.40659340659340659</v>
      </c>
      <c r="W9" s="28">
        <v>50</v>
      </c>
      <c r="X9" s="28">
        <v>14</v>
      </c>
      <c r="Y9" s="34">
        <f t="shared" si="8"/>
        <v>3.8323353293413174</v>
      </c>
      <c r="Z9" s="28">
        <f t="shared" si="9"/>
        <v>422.76</v>
      </c>
      <c r="AA9" s="27">
        <f t="shared" si="10"/>
        <v>19.216363636363635</v>
      </c>
      <c r="AB9" s="35">
        <f t="shared" si="11"/>
        <v>1.0809915791465607</v>
      </c>
      <c r="AC9" s="36">
        <f t="shared" si="12"/>
        <v>0.66086302637667749</v>
      </c>
      <c r="AD9" s="37">
        <f t="shared" si="13"/>
        <v>0.59532374100719421</v>
      </c>
      <c r="AE9" s="28">
        <v>29</v>
      </c>
      <c r="AF9" s="28">
        <v>0</v>
      </c>
      <c r="AG9" s="28">
        <v>29</v>
      </c>
      <c r="AH9" s="24">
        <v>73</v>
      </c>
      <c r="AI9" s="24">
        <v>77</v>
      </c>
      <c r="AJ9" s="38">
        <f t="shared" si="14"/>
        <v>0.94805194805194803</v>
      </c>
    </row>
    <row r="10" spans="1:36" ht="18.75">
      <c r="A10" s="39">
        <v>3</v>
      </c>
      <c r="B10" s="40" t="s">
        <v>53</v>
      </c>
      <c r="C10" s="7">
        <v>25</v>
      </c>
      <c r="D10" s="7">
        <v>463</v>
      </c>
      <c r="E10" s="8">
        <v>9.5</v>
      </c>
      <c r="F10" s="9">
        <f t="shared" si="0"/>
        <v>9.0440000000000005</v>
      </c>
      <c r="G10" s="10">
        <f t="shared" si="1"/>
        <v>19.533477321814257</v>
      </c>
      <c r="H10" s="11">
        <v>250</v>
      </c>
      <c r="I10" s="12">
        <f t="shared" si="2"/>
        <v>10</v>
      </c>
      <c r="J10" s="11">
        <f>218+(U10*3)+O10</f>
        <v>541</v>
      </c>
      <c r="K10" s="13">
        <f t="shared" si="3"/>
        <v>0.46210720887245843</v>
      </c>
      <c r="L10" s="7">
        <v>59</v>
      </c>
      <c r="M10" s="7">
        <v>109</v>
      </c>
      <c r="N10" s="14">
        <f t="shared" si="4"/>
        <v>0.54128440366972475</v>
      </c>
      <c r="O10" s="7">
        <v>59</v>
      </c>
      <c r="P10" s="7">
        <v>54</v>
      </c>
      <c r="Q10" s="14">
        <f>54/59</f>
        <v>0.9152542372881356</v>
      </c>
      <c r="R10" s="15">
        <f t="shared" si="5"/>
        <v>0.54128440366972475</v>
      </c>
      <c r="S10" s="16">
        <f t="shared" si="6"/>
        <v>25.96</v>
      </c>
      <c r="T10" s="7">
        <v>26</v>
      </c>
      <c r="U10" s="7">
        <v>88</v>
      </c>
      <c r="V10" s="14">
        <f t="shared" si="7"/>
        <v>0.29545454545454547</v>
      </c>
      <c r="W10" s="11">
        <v>58</v>
      </c>
      <c r="X10" s="11">
        <v>19</v>
      </c>
      <c r="Y10" s="17">
        <f t="shared" si="8"/>
        <v>6.6522678185745141</v>
      </c>
      <c r="Z10" s="11">
        <f t="shared" si="9"/>
        <v>177.96</v>
      </c>
      <c r="AA10" s="10">
        <f t="shared" si="10"/>
        <v>7.1184000000000003</v>
      </c>
      <c r="AB10" s="18">
        <f t="shared" si="11"/>
        <v>1.4048100696785795</v>
      </c>
      <c r="AC10" s="19">
        <f t="shared" si="12"/>
        <v>0.9262003556609365</v>
      </c>
      <c r="AD10" s="20">
        <f t="shared" si="13"/>
        <v>0.66055045871559637</v>
      </c>
      <c r="AE10" s="11">
        <v>46</v>
      </c>
      <c r="AF10" s="11">
        <v>0</v>
      </c>
      <c r="AG10" s="11">
        <v>16</v>
      </c>
      <c r="AH10" s="7">
        <v>65</v>
      </c>
      <c r="AI10" s="7">
        <v>43</v>
      </c>
      <c r="AJ10" s="21">
        <f t="shared" si="14"/>
        <v>1.5116279069767442</v>
      </c>
    </row>
    <row r="11" spans="1:36" ht="18.75">
      <c r="A11" s="22">
        <v>4</v>
      </c>
      <c r="B11" s="23" t="s">
        <v>54</v>
      </c>
      <c r="C11" s="24">
        <v>15</v>
      </c>
      <c r="D11" s="24">
        <v>479</v>
      </c>
      <c r="E11" s="25">
        <v>23.6</v>
      </c>
      <c r="F11" s="26">
        <f t="shared" si="0"/>
        <v>15.593333333333335</v>
      </c>
      <c r="G11" s="27">
        <f t="shared" si="1"/>
        <v>19.532359081419628</v>
      </c>
      <c r="H11" s="28">
        <v>354</v>
      </c>
      <c r="I11" s="29">
        <f t="shared" si="2"/>
        <v>23.6</v>
      </c>
      <c r="J11" s="28">
        <f>360+(U11*3)+O11</f>
        <v>677</v>
      </c>
      <c r="K11" s="30">
        <f t="shared" si="3"/>
        <v>0.52289512555391437</v>
      </c>
      <c r="L11" s="24">
        <v>116</v>
      </c>
      <c r="M11" s="24">
        <v>244</v>
      </c>
      <c r="N11" s="31">
        <f t="shared" si="4"/>
        <v>0.47540983606557374</v>
      </c>
      <c r="O11" s="24">
        <v>125</v>
      </c>
      <c r="P11" s="24">
        <v>103</v>
      </c>
      <c r="Q11" s="31">
        <f>103/125</f>
        <v>0.82399999999999995</v>
      </c>
      <c r="R11" s="32">
        <f t="shared" si="5"/>
        <v>0.51229508196721307</v>
      </c>
      <c r="S11" s="33">
        <f t="shared" si="6"/>
        <v>55</v>
      </c>
      <c r="T11" s="24">
        <v>19</v>
      </c>
      <c r="U11" s="24">
        <v>64</v>
      </c>
      <c r="V11" s="31">
        <f t="shared" si="7"/>
        <v>0.296875</v>
      </c>
      <c r="W11" s="28">
        <v>58</v>
      </c>
      <c r="X11" s="28">
        <v>12</v>
      </c>
      <c r="Y11" s="34">
        <f t="shared" si="8"/>
        <v>5.8455114822546967</v>
      </c>
      <c r="Z11" s="28">
        <f t="shared" si="9"/>
        <v>346</v>
      </c>
      <c r="AA11" s="27">
        <f t="shared" si="10"/>
        <v>23.066666666666666</v>
      </c>
      <c r="AB11" s="35">
        <f t="shared" si="11"/>
        <v>1.023121387283237</v>
      </c>
      <c r="AC11" s="36">
        <f t="shared" si="12"/>
        <v>0.59197324414715724</v>
      </c>
      <c r="AD11" s="37">
        <f t="shared" si="13"/>
        <v>0.51434426229508201</v>
      </c>
      <c r="AE11" s="28">
        <v>23</v>
      </c>
      <c r="AF11" s="28">
        <v>2</v>
      </c>
      <c r="AG11" s="28">
        <v>19</v>
      </c>
      <c r="AH11" s="24">
        <v>33</v>
      </c>
      <c r="AI11" s="24">
        <v>47</v>
      </c>
      <c r="AJ11" s="38">
        <f t="shared" si="14"/>
        <v>0.7021276595744681</v>
      </c>
    </row>
    <row r="12" spans="1:36" ht="18.75">
      <c r="A12" s="39">
        <v>5</v>
      </c>
      <c r="B12" s="40" t="s">
        <v>55</v>
      </c>
      <c r="C12" s="7">
        <v>23</v>
      </c>
      <c r="D12" s="7">
        <v>251</v>
      </c>
      <c r="E12" s="8">
        <v>8.1999999999999993</v>
      </c>
      <c r="F12" s="9">
        <f t="shared" si="0"/>
        <v>5.3130434782608686</v>
      </c>
      <c r="G12" s="10">
        <f t="shared" si="1"/>
        <v>19.474103585657367</v>
      </c>
      <c r="H12" s="11">
        <v>153</v>
      </c>
      <c r="I12" s="12">
        <f t="shared" si="2"/>
        <v>6.6521739130434785</v>
      </c>
      <c r="J12" s="11">
        <f>118+(U12*3)+O12</f>
        <v>365</v>
      </c>
      <c r="K12" s="13">
        <f t="shared" si="3"/>
        <v>0.41917808219178082</v>
      </c>
      <c r="L12" s="7">
        <v>53</v>
      </c>
      <c r="M12" s="7">
        <v>127</v>
      </c>
      <c r="N12" s="14">
        <f t="shared" si="4"/>
        <v>0.41732283464566927</v>
      </c>
      <c r="O12" s="7">
        <v>40</v>
      </c>
      <c r="P12" s="7">
        <v>28</v>
      </c>
      <c r="Q12" s="14">
        <f>28/40</f>
        <v>0.7</v>
      </c>
      <c r="R12" s="15">
        <f t="shared" si="5"/>
        <v>0.31496062992125984</v>
      </c>
      <c r="S12" s="16">
        <f t="shared" si="6"/>
        <v>17.600000000000001</v>
      </c>
      <c r="T12" s="7">
        <v>19</v>
      </c>
      <c r="U12" s="7">
        <v>69</v>
      </c>
      <c r="V12" s="14">
        <f t="shared" si="7"/>
        <v>0.27536231884057971</v>
      </c>
      <c r="W12" s="11">
        <v>46</v>
      </c>
      <c r="X12" s="11">
        <v>8</v>
      </c>
      <c r="Y12" s="17">
        <f t="shared" si="8"/>
        <v>8.6055776892430274</v>
      </c>
      <c r="Z12" s="11">
        <f t="shared" si="9"/>
        <v>173.6</v>
      </c>
      <c r="AA12" s="10">
        <f t="shared" si="10"/>
        <v>7.5478260869565217</v>
      </c>
      <c r="AB12" s="18">
        <f t="shared" si="11"/>
        <v>0.88133640552995396</v>
      </c>
      <c r="AC12" s="19">
        <f t="shared" si="12"/>
        <v>0.52904564315352698</v>
      </c>
      <c r="AD12" s="20">
        <f t="shared" si="13"/>
        <v>0.49212598425196852</v>
      </c>
      <c r="AE12" s="11">
        <v>42</v>
      </c>
      <c r="AF12" s="11">
        <v>10</v>
      </c>
      <c r="AG12" s="11">
        <v>17</v>
      </c>
      <c r="AH12" s="7">
        <v>63</v>
      </c>
      <c r="AI12" s="7">
        <v>29</v>
      </c>
      <c r="AJ12" s="21">
        <f t="shared" si="14"/>
        <v>2.1724137931034484</v>
      </c>
    </row>
    <row r="13" spans="1:36" ht="18.75">
      <c r="A13" s="22">
        <v>6</v>
      </c>
      <c r="B13" s="23" t="s">
        <v>56</v>
      </c>
      <c r="C13" s="24">
        <v>18</v>
      </c>
      <c r="D13" s="24">
        <v>523</v>
      </c>
      <c r="E13" s="25">
        <v>21.7</v>
      </c>
      <c r="F13" s="26">
        <f t="shared" si="0"/>
        <v>14.116666666666667</v>
      </c>
      <c r="G13" s="27">
        <f t="shared" si="1"/>
        <v>19.434034416826005</v>
      </c>
      <c r="H13" s="28">
        <v>246</v>
      </c>
      <c r="I13" s="29">
        <f t="shared" si="2"/>
        <v>13.666666666666666</v>
      </c>
      <c r="J13" s="28">
        <f>324+(U13*3)+O13</f>
        <v>429</v>
      </c>
      <c r="K13" s="30">
        <f t="shared" si="3"/>
        <v>0.57342657342657344</v>
      </c>
      <c r="L13" s="24">
        <v>97</v>
      </c>
      <c r="M13" s="24">
        <v>164</v>
      </c>
      <c r="N13" s="31">
        <f t="shared" si="4"/>
        <v>0.59146341463414631</v>
      </c>
      <c r="O13" s="24">
        <v>90</v>
      </c>
      <c r="P13" s="24">
        <v>52</v>
      </c>
      <c r="Q13" s="31">
        <f>52/90</f>
        <v>0.57777777777777772</v>
      </c>
      <c r="R13" s="32">
        <f t="shared" si="5"/>
        <v>0.54878048780487809</v>
      </c>
      <c r="S13" s="33">
        <f t="shared" si="6"/>
        <v>39.6</v>
      </c>
      <c r="T13" s="24">
        <v>0</v>
      </c>
      <c r="U13" s="24">
        <v>5</v>
      </c>
      <c r="V13" s="31">
        <f t="shared" si="7"/>
        <v>0</v>
      </c>
      <c r="W13" s="28">
        <v>88</v>
      </c>
      <c r="X13" s="28">
        <v>71</v>
      </c>
      <c r="Y13" s="34">
        <f t="shared" si="8"/>
        <v>12.160611854684513</v>
      </c>
      <c r="Z13" s="28">
        <f t="shared" si="9"/>
        <v>231.6</v>
      </c>
      <c r="AA13" s="27">
        <f t="shared" si="10"/>
        <v>12.866666666666667</v>
      </c>
      <c r="AB13" s="35">
        <f t="shared" si="11"/>
        <v>1.0621761658031088</v>
      </c>
      <c r="AC13" s="36">
        <f t="shared" si="12"/>
        <v>0.6041257367387034</v>
      </c>
      <c r="AD13" s="37">
        <f t="shared" si="13"/>
        <v>0.59146341463414631</v>
      </c>
      <c r="AE13" s="28">
        <v>36</v>
      </c>
      <c r="AF13" s="28">
        <v>21</v>
      </c>
      <c r="AG13" s="28">
        <v>25</v>
      </c>
      <c r="AH13" s="24">
        <v>37</v>
      </c>
      <c r="AI13" s="24">
        <v>28</v>
      </c>
      <c r="AJ13" s="38">
        <f t="shared" si="14"/>
        <v>1.3214285714285714</v>
      </c>
    </row>
    <row r="14" spans="1:36" ht="18.75">
      <c r="A14" s="39">
        <v>7</v>
      </c>
      <c r="B14" s="41" t="s">
        <v>57</v>
      </c>
      <c r="C14" s="7">
        <v>14</v>
      </c>
      <c r="D14" s="7">
        <v>359</v>
      </c>
      <c r="E14" s="8">
        <v>19</v>
      </c>
      <c r="F14" s="9">
        <f t="shared" si="0"/>
        <v>12.178571428571429</v>
      </c>
      <c r="G14" s="10">
        <f t="shared" si="1"/>
        <v>18.997214484679667</v>
      </c>
      <c r="H14" s="11">
        <v>226</v>
      </c>
      <c r="I14" s="12">
        <f t="shared" si="2"/>
        <v>16.142857142857142</v>
      </c>
      <c r="J14" s="11">
        <f>256+(U14*3)+O14</f>
        <v>428</v>
      </c>
      <c r="K14" s="13">
        <f t="shared" si="3"/>
        <v>0.5280373831775701</v>
      </c>
      <c r="L14" s="7">
        <v>78</v>
      </c>
      <c r="M14" s="7">
        <v>160</v>
      </c>
      <c r="N14" s="14">
        <f t="shared" si="4"/>
        <v>0.48749999999999999</v>
      </c>
      <c r="O14" s="7">
        <v>76</v>
      </c>
      <c r="P14" s="7">
        <v>58</v>
      </c>
      <c r="Q14" s="14">
        <f>58/76</f>
        <v>0.76315789473684215</v>
      </c>
      <c r="R14" s="15">
        <f t="shared" si="5"/>
        <v>0.47499999999999998</v>
      </c>
      <c r="S14" s="16">
        <f t="shared" si="6"/>
        <v>33.44</v>
      </c>
      <c r="T14" s="7">
        <v>12</v>
      </c>
      <c r="U14" s="7">
        <v>32</v>
      </c>
      <c r="V14" s="14">
        <f t="shared" si="7"/>
        <v>0.375</v>
      </c>
      <c r="W14" s="11">
        <v>81</v>
      </c>
      <c r="X14" s="11">
        <v>26</v>
      </c>
      <c r="Y14" s="17">
        <f t="shared" si="8"/>
        <v>11.92200557103064</v>
      </c>
      <c r="Z14" s="11">
        <f t="shared" si="9"/>
        <v>224.44</v>
      </c>
      <c r="AA14" s="10">
        <f t="shared" si="10"/>
        <v>16.03142857142857</v>
      </c>
      <c r="AB14" s="18">
        <f t="shared" si="11"/>
        <v>1.0069506326857958</v>
      </c>
      <c r="AC14" s="19">
        <f t="shared" si="12"/>
        <v>0.5841604631927213</v>
      </c>
      <c r="AD14" s="20">
        <f t="shared" si="13"/>
        <v>0.52500000000000002</v>
      </c>
      <c r="AE14" s="11">
        <v>41</v>
      </c>
      <c r="AF14" s="11">
        <v>14</v>
      </c>
      <c r="AG14" s="11">
        <v>15</v>
      </c>
      <c r="AH14" s="7">
        <v>18</v>
      </c>
      <c r="AI14" s="7">
        <v>31</v>
      </c>
      <c r="AJ14" s="21">
        <f t="shared" si="14"/>
        <v>0.58064516129032262</v>
      </c>
    </row>
    <row r="15" spans="1:36" ht="18.75">
      <c r="A15" s="22">
        <v>8</v>
      </c>
      <c r="B15" s="23" t="s">
        <v>58</v>
      </c>
      <c r="C15" s="24">
        <v>23</v>
      </c>
      <c r="D15" s="24">
        <v>519</v>
      </c>
      <c r="E15" s="25">
        <v>14.8</v>
      </c>
      <c r="F15" s="26">
        <f t="shared" si="0"/>
        <v>10.621739130434783</v>
      </c>
      <c r="G15" s="27">
        <f t="shared" si="1"/>
        <v>18.828516377649326</v>
      </c>
      <c r="H15" s="28">
        <v>263</v>
      </c>
      <c r="I15" s="29">
        <f t="shared" si="2"/>
        <v>11.434782608695652</v>
      </c>
      <c r="J15" s="28">
        <f>238+(U15*3)+O15</f>
        <v>492</v>
      </c>
      <c r="K15" s="30">
        <f t="shared" si="3"/>
        <v>0.53455284552845528</v>
      </c>
      <c r="L15" s="24">
        <v>98</v>
      </c>
      <c r="M15" s="24">
        <v>184</v>
      </c>
      <c r="N15" s="31">
        <f t="shared" si="4"/>
        <v>0.53260869565217395</v>
      </c>
      <c r="O15" s="24">
        <v>59</v>
      </c>
      <c r="P15" s="24">
        <v>46</v>
      </c>
      <c r="Q15" s="31">
        <f>46/59</f>
        <v>0.77966101694915257</v>
      </c>
      <c r="R15" s="32">
        <f t="shared" si="5"/>
        <v>0.32065217391304346</v>
      </c>
      <c r="S15" s="33">
        <f t="shared" si="6"/>
        <v>25.96</v>
      </c>
      <c r="T15" s="24">
        <v>21</v>
      </c>
      <c r="U15" s="24">
        <v>65</v>
      </c>
      <c r="V15" s="31">
        <f t="shared" si="7"/>
        <v>0.32307692307692309</v>
      </c>
      <c r="W15" s="28">
        <v>72</v>
      </c>
      <c r="X15" s="28">
        <v>42</v>
      </c>
      <c r="Y15" s="34">
        <f t="shared" si="8"/>
        <v>8.7861271676300579</v>
      </c>
      <c r="Z15" s="28">
        <f t="shared" si="9"/>
        <v>240.96</v>
      </c>
      <c r="AA15" s="27">
        <f t="shared" si="10"/>
        <v>10.476521739130435</v>
      </c>
      <c r="AB15" s="35">
        <f t="shared" si="11"/>
        <v>1.0914674634794157</v>
      </c>
      <c r="AC15" s="36">
        <f t="shared" si="12"/>
        <v>0.62630977329015047</v>
      </c>
      <c r="AD15" s="37">
        <f t="shared" si="13"/>
        <v>0.58967391304347827</v>
      </c>
      <c r="AE15" s="28">
        <v>42</v>
      </c>
      <c r="AF15" s="28">
        <v>12</v>
      </c>
      <c r="AG15" s="28">
        <v>40</v>
      </c>
      <c r="AH15" s="24">
        <v>35</v>
      </c>
      <c r="AI15" s="24">
        <v>31</v>
      </c>
      <c r="AJ15" s="38">
        <f t="shared" si="14"/>
        <v>1.1290322580645162</v>
      </c>
    </row>
    <row r="16" spans="1:36" ht="18.75">
      <c r="A16" s="39">
        <v>9</v>
      </c>
      <c r="B16" s="41" t="s">
        <v>59</v>
      </c>
      <c r="C16" s="7">
        <v>21</v>
      </c>
      <c r="D16" s="7">
        <v>494</v>
      </c>
      <c r="E16" s="8">
        <v>15.5</v>
      </c>
      <c r="F16" s="9">
        <f t="shared" si="0"/>
        <v>11.066666666666666</v>
      </c>
      <c r="G16" s="10">
        <f t="shared" si="1"/>
        <v>18.817813765182184</v>
      </c>
      <c r="H16" s="11">
        <v>234</v>
      </c>
      <c r="I16" s="12">
        <f t="shared" si="2"/>
        <v>11.142857142857142</v>
      </c>
      <c r="J16" s="11">
        <v>475</v>
      </c>
      <c r="K16" s="13">
        <f t="shared" si="3"/>
        <v>0.49263157894736842</v>
      </c>
      <c r="L16" s="7">
        <v>81</v>
      </c>
      <c r="M16" s="7">
        <v>174</v>
      </c>
      <c r="N16" s="14">
        <f t="shared" si="4"/>
        <v>0.46551724137931033</v>
      </c>
      <c r="O16" s="7">
        <v>59</v>
      </c>
      <c r="P16" s="7">
        <v>44</v>
      </c>
      <c r="Q16" s="14">
        <v>0.746</v>
      </c>
      <c r="R16" s="15">
        <f t="shared" si="5"/>
        <v>0.33908045977011492</v>
      </c>
      <c r="S16" s="16">
        <f t="shared" si="6"/>
        <v>25.96</v>
      </c>
      <c r="T16" s="7">
        <v>28</v>
      </c>
      <c r="U16" s="7">
        <v>68</v>
      </c>
      <c r="V16" s="14">
        <f t="shared" si="7"/>
        <v>0.41176470588235292</v>
      </c>
      <c r="W16" s="11">
        <v>48</v>
      </c>
      <c r="X16" s="11">
        <v>14</v>
      </c>
      <c r="Y16" s="17">
        <f t="shared" si="8"/>
        <v>5.0202429149797565</v>
      </c>
      <c r="Z16" s="11">
        <f t="shared" si="9"/>
        <v>235.96</v>
      </c>
      <c r="AA16" s="10">
        <f t="shared" si="10"/>
        <v>11.236190476190476</v>
      </c>
      <c r="AB16" s="18">
        <f t="shared" si="11"/>
        <v>0.9916935073741312</v>
      </c>
      <c r="AC16" s="19">
        <f t="shared" si="12"/>
        <v>0.58511702340468086</v>
      </c>
      <c r="AD16" s="20">
        <f t="shared" si="13"/>
        <v>0.54597701149425293</v>
      </c>
      <c r="AE16" s="11">
        <v>60</v>
      </c>
      <c r="AF16" s="11">
        <v>1</v>
      </c>
      <c r="AG16" s="11">
        <v>47</v>
      </c>
      <c r="AH16" s="7">
        <v>117</v>
      </c>
      <c r="AI16" s="7">
        <v>36</v>
      </c>
      <c r="AJ16" s="21">
        <f t="shared" si="14"/>
        <v>3.25</v>
      </c>
    </row>
    <row r="17" spans="1:36" ht="18.75">
      <c r="A17" s="22">
        <v>10</v>
      </c>
      <c r="B17" s="23" t="s">
        <v>60</v>
      </c>
      <c r="C17" s="24">
        <v>26</v>
      </c>
      <c r="D17" s="24">
        <v>684</v>
      </c>
      <c r="E17" s="25">
        <v>15</v>
      </c>
      <c r="F17" s="26">
        <f t="shared" si="0"/>
        <v>12.149999999999995</v>
      </c>
      <c r="G17" s="27">
        <f t="shared" si="1"/>
        <v>18.473684210526308</v>
      </c>
      <c r="H17" s="28">
        <v>460</v>
      </c>
      <c r="I17" s="29">
        <f t="shared" si="2"/>
        <v>17.692307692307693</v>
      </c>
      <c r="J17" s="28">
        <f>284+(U17*3)+O17</f>
        <v>926</v>
      </c>
      <c r="K17" s="30">
        <f t="shared" si="3"/>
        <v>0.49676025917926564</v>
      </c>
      <c r="L17" s="24">
        <v>162</v>
      </c>
      <c r="M17" s="24">
        <v>333</v>
      </c>
      <c r="N17" s="31">
        <f t="shared" si="4"/>
        <v>0.48648648648648651</v>
      </c>
      <c r="O17" s="24">
        <v>69</v>
      </c>
      <c r="P17" s="24">
        <v>55</v>
      </c>
      <c r="Q17" s="31">
        <f>55/69</f>
        <v>0.79710144927536231</v>
      </c>
      <c r="R17" s="32">
        <f t="shared" si="5"/>
        <v>0.2072072072072072</v>
      </c>
      <c r="S17" s="33">
        <f t="shared" si="6"/>
        <v>30.36</v>
      </c>
      <c r="T17" s="24">
        <v>105</v>
      </c>
      <c r="U17" s="24">
        <v>191</v>
      </c>
      <c r="V17" s="31">
        <f t="shared" si="7"/>
        <v>0.54973821989528793</v>
      </c>
      <c r="W17" s="28">
        <v>39</v>
      </c>
      <c r="X17" s="28">
        <v>12</v>
      </c>
      <c r="Y17" s="34">
        <f t="shared" si="8"/>
        <v>2.9824561403508771</v>
      </c>
      <c r="Z17" s="28">
        <f t="shared" si="9"/>
        <v>390.36</v>
      </c>
      <c r="AA17" s="27">
        <f t="shared" si="10"/>
        <v>15.013846153846155</v>
      </c>
      <c r="AB17" s="35">
        <f t="shared" si="11"/>
        <v>1.1783994261707142</v>
      </c>
      <c r="AC17" s="36">
        <f t="shared" si="12"/>
        <v>0.63298106560986345</v>
      </c>
      <c r="AD17" s="37">
        <f t="shared" si="13"/>
        <v>0.64414414414414412</v>
      </c>
      <c r="AE17" s="28">
        <v>34</v>
      </c>
      <c r="AF17" s="28">
        <v>0</v>
      </c>
      <c r="AG17" s="28">
        <v>16</v>
      </c>
      <c r="AH17" s="24">
        <v>49</v>
      </c>
      <c r="AI17" s="24">
        <v>27</v>
      </c>
      <c r="AJ17" s="38">
        <f t="shared" si="14"/>
        <v>1.8148148148148149</v>
      </c>
    </row>
    <row r="18" spans="1:36" ht="18.75">
      <c r="A18" s="39">
        <v>11</v>
      </c>
      <c r="B18" s="41" t="s">
        <v>61</v>
      </c>
      <c r="C18" s="7">
        <v>20</v>
      </c>
      <c r="D18" s="7">
        <v>682</v>
      </c>
      <c r="E18" s="8">
        <v>20.8</v>
      </c>
      <c r="F18" s="9">
        <f t="shared" si="0"/>
        <v>15.4</v>
      </c>
      <c r="G18" s="10">
        <f t="shared" si="1"/>
        <v>18.064516129032256</v>
      </c>
      <c r="H18" s="11">
        <v>374</v>
      </c>
      <c r="I18" s="12">
        <f t="shared" si="2"/>
        <v>18.7</v>
      </c>
      <c r="J18" s="11">
        <v>724</v>
      </c>
      <c r="K18" s="13">
        <f t="shared" si="3"/>
        <v>0.51657458563535907</v>
      </c>
      <c r="L18" s="7">
        <v>146</v>
      </c>
      <c r="M18" s="7">
        <v>284</v>
      </c>
      <c r="N18" s="14">
        <f t="shared" si="4"/>
        <v>0.5140845070422535</v>
      </c>
      <c r="O18" s="7">
        <v>68</v>
      </c>
      <c r="P18" s="7">
        <v>50</v>
      </c>
      <c r="Q18" s="14">
        <v>0.81399999999999995</v>
      </c>
      <c r="R18" s="15">
        <f t="shared" si="5"/>
        <v>0.23943661971830985</v>
      </c>
      <c r="S18" s="16">
        <f t="shared" si="6"/>
        <v>29.92</v>
      </c>
      <c r="T18" s="7">
        <v>32</v>
      </c>
      <c r="U18" s="7">
        <v>88</v>
      </c>
      <c r="V18" s="14">
        <f t="shared" si="7"/>
        <v>0.36363636363636365</v>
      </c>
      <c r="W18" s="11">
        <v>91</v>
      </c>
      <c r="X18" s="11">
        <v>16</v>
      </c>
      <c r="Y18" s="17">
        <f t="shared" si="8"/>
        <v>6.2756598240469206</v>
      </c>
      <c r="Z18" s="11">
        <f t="shared" si="9"/>
        <v>356.92</v>
      </c>
      <c r="AA18" s="10">
        <f t="shared" si="10"/>
        <v>17.846</v>
      </c>
      <c r="AB18" s="18">
        <f t="shared" si="11"/>
        <v>1.0478538608091448</v>
      </c>
      <c r="AC18" s="19">
        <f t="shared" si="12"/>
        <v>0.59569317023445456</v>
      </c>
      <c r="AD18" s="20">
        <f t="shared" si="13"/>
        <v>0.57042253521126762</v>
      </c>
      <c r="AE18" s="11">
        <v>56</v>
      </c>
      <c r="AF18" s="11">
        <v>4</v>
      </c>
      <c r="AG18" s="11">
        <v>28</v>
      </c>
      <c r="AH18" s="7">
        <v>111</v>
      </c>
      <c r="AI18" s="7">
        <v>43</v>
      </c>
      <c r="AJ18" s="21">
        <f t="shared" si="14"/>
        <v>2.5813953488372094</v>
      </c>
    </row>
    <row r="19" spans="1:36" ht="18.75">
      <c r="A19" s="22">
        <v>12</v>
      </c>
      <c r="B19" s="23" t="s">
        <v>62</v>
      </c>
      <c r="C19" s="24">
        <v>24</v>
      </c>
      <c r="D19" s="24">
        <v>752</v>
      </c>
      <c r="E19" s="25">
        <v>23</v>
      </c>
      <c r="F19" s="26">
        <f t="shared" si="0"/>
        <v>14.0875</v>
      </c>
      <c r="G19" s="27">
        <f t="shared" si="1"/>
        <v>17.98404255319149</v>
      </c>
      <c r="H19" s="28">
        <v>403</v>
      </c>
      <c r="I19" s="29">
        <f t="shared" si="2"/>
        <v>16.791666666666668</v>
      </c>
      <c r="J19" s="28">
        <f>396+(U19*3)+O19</f>
        <v>926</v>
      </c>
      <c r="K19" s="30">
        <f t="shared" si="3"/>
        <v>0.43520518358531318</v>
      </c>
      <c r="L19" s="24">
        <v>142</v>
      </c>
      <c r="M19" s="24">
        <v>323</v>
      </c>
      <c r="N19" s="31">
        <f t="shared" si="4"/>
        <v>0.43962848297213625</v>
      </c>
      <c r="O19" s="24">
        <v>155</v>
      </c>
      <c r="P19" s="24">
        <v>88</v>
      </c>
      <c r="Q19" s="31">
        <f>88/155</f>
        <v>0.56774193548387097</v>
      </c>
      <c r="R19" s="32">
        <f t="shared" si="5"/>
        <v>0.47987616099071206</v>
      </c>
      <c r="S19" s="33">
        <f t="shared" si="6"/>
        <v>68.2</v>
      </c>
      <c r="T19" s="24">
        <v>31</v>
      </c>
      <c r="U19" s="24">
        <v>125</v>
      </c>
      <c r="V19" s="31">
        <f t="shared" si="7"/>
        <v>0.248</v>
      </c>
      <c r="W19" s="28">
        <v>164</v>
      </c>
      <c r="X19" s="28">
        <v>36</v>
      </c>
      <c r="Y19" s="34">
        <f t="shared" si="8"/>
        <v>10.638297872340425</v>
      </c>
      <c r="Z19" s="28">
        <f t="shared" si="9"/>
        <v>458.2</v>
      </c>
      <c r="AA19" s="27">
        <f t="shared" si="10"/>
        <v>19.091666666666665</v>
      </c>
      <c r="AB19" s="35">
        <f t="shared" si="11"/>
        <v>0.87952859013531215</v>
      </c>
      <c r="AC19" s="36">
        <f t="shared" si="12"/>
        <v>0.51508179959100209</v>
      </c>
      <c r="AD19" s="37">
        <f t="shared" si="13"/>
        <v>0.48761609907120745</v>
      </c>
      <c r="AE19" s="28">
        <v>43</v>
      </c>
      <c r="AF19" s="28">
        <v>30</v>
      </c>
      <c r="AG19" s="28">
        <v>71</v>
      </c>
      <c r="AH19" s="24">
        <v>70</v>
      </c>
      <c r="AI19" s="24">
        <v>67</v>
      </c>
      <c r="AJ19" s="38">
        <f t="shared" si="14"/>
        <v>1.044776119402985</v>
      </c>
    </row>
    <row r="20" spans="1:36" ht="18.75">
      <c r="A20" s="42">
        <v>13</v>
      </c>
      <c r="B20" s="41" t="s">
        <v>63</v>
      </c>
      <c r="C20" s="7">
        <v>38</v>
      </c>
      <c r="D20" s="7">
        <v>1126</v>
      </c>
      <c r="E20" s="8">
        <v>13.9</v>
      </c>
      <c r="F20" s="9">
        <f t="shared" si="0"/>
        <v>13.205263157894739</v>
      </c>
      <c r="G20" s="10">
        <f t="shared" si="1"/>
        <v>17.825932504440502</v>
      </c>
      <c r="H20" s="11">
        <v>363</v>
      </c>
      <c r="I20" s="12">
        <f t="shared" si="2"/>
        <v>9.5526315789473681</v>
      </c>
      <c r="J20" s="11">
        <f>240+(U20*3)+O20</f>
        <v>810</v>
      </c>
      <c r="K20" s="13">
        <f t="shared" si="3"/>
        <v>0.44814814814814813</v>
      </c>
      <c r="L20" s="7">
        <v>130</v>
      </c>
      <c r="M20" s="7">
        <v>285</v>
      </c>
      <c r="N20" s="14">
        <f t="shared" si="4"/>
        <v>0.45614035087719296</v>
      </c>
      <c r="O20" s="7">
        <v>75</v>
      </c>
      <c r="P20" s="7">
        <v>444</v>
      </c>
      <c r="Q20" s="14">
        <f>44/75</f>
        <v>0.58666666666666667</v>
      </c>
      <c r="R20" s="15">
        <f t="shared" si="5"/>
        <v>0.26315789473684209</v>
      </c>
      <c r="S20" s="16">
        <f t="shared" si="6"/>
        <v>33</v>
      </c>
      <c r="T20" s="7">
        <v>59</v>
      </c>
      <c r="U20" s="7">
        <v>165</v>
      </c>
      <c r="V20" s="14">
        <f t="shared" si="7"/>
        <v>0.3575757575757576</v>
      </c>
      <c r="W20" s="11">
        <v>223</v>
      </c>
      <c r="X20" s="11">
        <v>44</v>
      </c>
      <c r="Y20" s="17">
        <f t="shared" si="8"/>
        <v>9.4849023090586151</v>
      </c>
      <c r="Z20" s="11">
        <f t="shared" si="9"/>
        <v>340</v>
      </c>
      <c r="AA20" s="10">
        <f t="shared" si="10"/>
        <v>8.9473684210526319</v>
      </c>
      <c r="AB20" s="18">
        <f t="shared" si="11"/>
        <v>1.0676470588235294</v>
      </c>
      <c r="AC20" s="19">
        <f t="shared" si="12"/>
        <v>0.57075471698113212</v>
      </c>
      <c r="AD20" s="20">
        <f t="shared" si="13"/>
        <v>0.55964912280701751</v>
      </c>
      <c r="AE20" s="11">
        <v>81</v>
      </c>
      <c r="AF20" s="11">
        <v>30</v>
      </c>
      <c r="AG20" s="11">
        <v>38</v>
      </c>
      <c r="AH20" s="7">
        <v>52</v>
      </c>
      <c r="AI20" s="7">
        <v>22</v>
      </c>
      <c r="AJ20" s="21">
        <f t="shared" si="14"/>
        <v>2.3636363636363638</v>
      </c>
    </row>
    <row r="21" spans="1:36" ht="18.75">
      <c r="A21" s="22">
        <v>14</v>
      </c>
      <c r="B21" s="23" t="s">
        <v>64</v>
      </c>
      <c r="C21" s="24">
        <v>24</v>
      </c>
      <c r="D21" s="24">
        <v>706</v>
      </c>
      <c r="E21" s="25">
        <v>19.600000000000001</v>
      </c>
      <c r="F21" s="26">
        <f t="shared" si="0"/>
        <v>13.04166666666667</v>
      </c>
      <c r="G21" s="27">
        <f t="shared" si="1"/>
        <v>17.733711048158643</v>
      </c>
      <c r="H21" s="28">
        <v>423</v>
      </c>
      <c r="I21" s="29">
        <f t="shared" si="2"/>
        <v>17.625</v>
      </c>
      <c r="J21" s="28">
        <f>408+(U21*3)+O21</f>
        <v>763</v>
      </c>
      <c r="K21" s="30">
        <f t="shared" si="3"/>
        <v>0.55439056356487548</v>
      </c>
      <c r="L21" s="24">
        <v>152</v>
      </c>
      <c r="M21" s="24">
        <v>288</v>
      </c>
      <c r="N21" s="31">
        <f t="shared" si="4"/>
        <v>0.52777777777777779</v>
      </c>
      <c r="O21" s="24">
        <v>103</v>
      </c>
      <c r="P21" s="24">
        <v>85</v>
      </c>
      <c r="Q21" s="31">
        <f>85/103</f>
        <v>0.82524271844660191</v>
      </c>
      <c r="R21" s="32">
        <f t="shared" si="5"/>
        <v>0.3576388888888889</v>
      </c>
      <c r="S21" s="33">
        <f t="shared" si="6"/>
        <v>45.32</v>
      </c>
      <c r="T21" s="24">
        <v>34</v>
      </c>
      <c r="U21" s="24">
        <v>84</v>
      </c>
      <c r="V21" s="31">
        <f t="shared" si="7"/>
        <v>0.40476190476190477</v>
      </c>
      <c r="W21" s="28">
        <v>122</v>
      </c>
      <c r="X21" s="28">
        <v>36</v>
      </c>
      <c r="Y21" s="34">
        <f t="shared" si="8"/>
        <v>8.9518413597733719</v>
      </c>
      <c r="Z21" s="28">
        <f t="shared" si="9"/>
        <v>397.32</v>
      </c>
      <c r="AA21" s="27">
        <f t="shared" si="10"/>
        <v>16.555</v>
      </c>
      <c r="AB21" s="35">
        <f t="shared" si="11"/>
        <v>1.0646330413772274</v>
      </c>
      <c r="AC21" s="36">
        <f t="shared" si="12"/>
        <v>0.63452538101524059</v>
      </c>
      <c r="AD21" s="37">
        <f t="shared" si="13"/>
        <v>0.58680555555555558</v>
      </c>
      <c r="AE21" s="28">
        <v>62</v>
      </c>
      <c r="AF21" s="28">
        <v>11</v>
      </c>
      <c r="AG21" s="28">
        <v>23</v>
      </c>
      <c r="AH21" s="24">
        <v>49</v>
      </c>
      <c r="AI21" s="24">
        <v>64</v>
      </c>
      <c r="AJ21" s="38">
        <f t="shared" si="14"/>
        <v>0.765625</v>
      </c>
    </row>
    <row r="22" spans="1:36" ht="18.75">
      <c r="A22" s="39">
        <v>15</v>
      </c>
      <c r="B22" s="41" t="s">
        <v>65</v>
      </c>
      <c r="C22" s="7">
        <v>20</v>
      </c>
      <c r="D22" s="7">
        <v>671</v>
      </c>
      <c r="E22" s="8">
        <v>16.899999999999999</v>
      </c>
      <c r="F22" s="9">
        <f t="shared" si="0"/>
        <v>14.8</v>
      </c>
      <c r="G22" s="10">
        <f t="shared" si="1"/>
        <v>17.645305514157975</v>
      </c>
      <c r="H22" s="11">
        <v>401</v>
      </c>
      <c r="I22" s="12">
        <f t="shared" si="2"/>
        <v>20.05</v>
      </c>
      <c r="J22" s="11">
        <f>412+(U22*3)+O22</f>
        <v>784</v>
      </c>
      <c r="K22" s="13">
        <f t="shared" si="3"/>
        <v>0.51147959183673475</v>
      </c>
      <c r="L22" s="7">
        <v>101</v>
      </c>
      <c r="M22" s="7">
        <v>206</v>
      </c>
      <c r="N22" s="14">
        <f t="shared" si="4"/>
        <v>0.49029126213592233</v>
      </c>
      <c r="O22" s="7">
        <v>147</v>
      </c>
      <c r="P22" s="7">
        <v>127</v>
      </c>
      <c r="Q22" s="14">
        <f>127/147</f>
        <v>0.86394557823129248</v>
      </c>
      <c r="R22" s="15">
        <f t="shared" si="5"/>
        <v>0.71359223300970875</v>
      </c>
      <c r="S22" s="16">
        <f t="shared" si="6"/>
        <v>64.680000000000007</v>
      </c>
      <c r="T22" s="7">
        <v>24</v>
      </c>
      <c r="U22" s="7">
        <v>75</v>
      </c>
      <c r="V22" s="14">
        <f t="shared" si="7"/>
        <v>0.32</v>
      </c>
      <c r="W22" s="11">
        <v>45</v>
      </c>
      <c r="X22" s="11">
        <v>14</v>
      </c>
      <c r="Y22" s="17">
        <f t="shared" si="8"/>
        <v>3.5171385991058122</v>
      </c>
      <c r="Z22" s="11">
        <f t="shared" si="9"/>
        <v>327.68</v>
      </c>
      <c r="AA22" s="10">
        <f t="shared" si="10"/>
        <v>16.384</v>
      </c>
      <c r="AB22" s="18">
        <f t="shared" si="11"/>
        <v>1.2237548828125</v>
      </c>
      <c r="AC22" s="19">
        <f t="shared" si="12"/>
        <v>0.74072705778040493</v>
      </c>
      <c r="AD22" s="20">
        <f t="shared" si="13"/>
        <v>0.54854368932038833</v>
      </c>
      <c r="AE22" s="11">
        <v>36</v>
      </c>
      <c r="AF22" s="11">
        <v>2</v>
      </c>
      <c r="AG22" s="11">
        <v>22</v>
      </c>
      <c r="AH22" s="7">
        <v>45</v>
      </c>
      <c r="AI22" s="7">
        <v>57</v>
      </c>
      <c r="AJ22" s="21">
        <f t="shared" si="14"/>
        <v>0.78947368421052633</v>
      </c>
    </row>
    <row r="23" spans="1:36" ht="18.75">
      <c r="A23" s="22">
        <v>16</v>
      </c>
      <c r="B23" s="23" t="s">
        <v>66</v>
      </c>
      <c r="C23" s="24">
        <v>17</v>
      </c>
      <c r="D23" s="24">
        <v>477</v>
      </c>
      <c r="E23" s="25">
        <v>19</v>
      </c>
      <c r="F23" s="26">
        <f t="shared" si="0"/>
        <v>12.270588235294117</v>
      </c>
      <c r="G23" s="27">
        <f t="shared" si="1"/>
        <v>17.492662473794546</v>
      </c>
      <c r="H23" s="28">
        <v>206</v>
      </c>
      <c r="I23" s="29">
        <f t="shared" si="2"/>
        <v>12.117647058823529</v>
      </c>
      <c r="J23" s="28">
        <f>228+(U23*3)+O23</f>
        <v>381</v>
      </c>
      <c r="K23" s="30">
        <f t="shared" si="3"/>
        <v>0.54068241469816269</v>
      </c>
      <c r="L23" s="24">
        <v>79</v>
      </c>
      <c r="M23" s="24">
        <v>149</v>
      </c>
      <c r="N23" s="31">
        <f t="shared" si="4"/>
        <v>0.53020134228187921</v>
      </c>
      <c r="O23" s="24">
        <v>48</v>
      </c>
      <c r="P23" s="24">
        <v>38</v>
      </c>
      <c r="Q23" s="31">
        <f>38/48</f>
        <v>0.79166666666666663</v>
      </c>
      <c r="R23" s="32">
        <f t="shared" si="5"/>
        <v>0.32214765100671139</v>
      </c>
      <c r="S23" s="33">
        <f t="shared" si="6"/>
        <v>21.12</v>
      </c>
      <c r="T23" s="24">
        <v>10</v>
      </c>
      <c r="U23" s="24">
        <v>35</v>
      </c>
      <c r="V23" s="31">
        <f t="shared" si="7"/>
        <v>0.2857142857142857</v>
      </c>
      <c r="W23" s="28">
        <v>99</v>
      </c>
      <c r="X23" s="28">
        <v>44</v>
      </c>
      <c r="Y23" s="34">
        <f t="shared" si="8"/>
        <v>11.991614255765199</v>
      </c>
      <c r="Z23" s="28">
        <f t="shared" si="9"/>
        <v>191.12</v>
      </c>
      <c r="AA23" s="27">
        <f t="shared" si="10"/>
        <v>11.24235294117647</v>
      </c>
      <c r="AB23" s="35">
        <f t="shared" si="11"/>
        <v>1.077856843867727</v>
      </c>
      <c r="AC23" s="36">
        <f t="shared" si="12"/>
        <v>0.60545497296026329</v>
      </c>
      <c r="AD23" s="37">
        <f t="shared" si="13"/>
        <v>0.56375838926174493</v>
      </c>
      <c r="AE23" s="28">
        <v>42</v>
      </c>
      <c r="AF23" s="28">
        <v>27</v>
      </c>
      <c r="AG23" s="28">
        <v>9</v>
      </c>
      <c r="AH23" s="24">
        <v>41</v>
      </c>
      <c r="AI23" s="24">
        <v>21</v>
      </c>
      <c r="AJ23" s="38">
        <f t="shared" si="14"/>
        <v>1.9523809523809523</v>
      </c>
    </row>
    <row r="24" spans="1:36" ht="18.75">
      <c r="A24" s="42">
        <v>17</v>
      </c>
      <c r="B24" s="41" t="s">
        <v>67</v>
      </c>
      <c r="C24" s="7">
        <v>23</v>
      </c>
      <c r="D24" s="7">
        <v>622</v>
      </c>
      <c r="E24" s="8">
        <v>16.2</v>
      </c>
      <c r="F24" s="9">
        <f t="shared" si="0"/>
        <v>11.752173913043476</v>
      </c>
      <c r="G24" s="10">
        <f t="shared" si="1"/>
        <v>17.382636655948549</v>
      </c>
      <c r="H24" s="11">
        <v>301</v>
      </c>
      <c r="I24" s="12">
        <f t="shared" si="2"/>
        <v>13.086956521739131</v>
      </c>
      <c r="J24" s="11">
        <f>166+(U24*3)+O24</f>
        <v>570</v>
      </c>
      <c r="K24" s="13">
        <f t="shared" si="3"/>
        <v>0.52807017543859647</v>
      </c>
      <c r="L24" s="7">
        <v>118</v>
      </c>
      <c r="M24" s="7">
        <v>244</v>
      </c>
      <c r="N24" s="14">
        <f t="shared" si="4"/>
        <v>0.48360655737704916</v>
      </c>
      <c r="O24" s="7">
        <v>47</v>
      </c>
      <c r="P24" s="7">
        <v>31</v>
      </c>
      <c r="Q24" s="14">
        <f>31/47</f>
        <v>0.65957446808510634</v>
      </c>
      <c r="R24" s="15">
        <f t="shared" si="5"/>
        <v>0.19262295081967212</v>
      </c>
      <c r="S24" s="16">
        <f t="shared" si="6"/>
        <v>20.68</v>
      </c>
      <c r="T24" s="7">
        <v>38</v>
      </c>
      <c r="U24" s="7">
        <v>119</v>
      </c>
      <c r="V24" s="14">
        <f t="shared" si="7"/>
        <v>0.31932773109243695</v>
      </c>
      <c r="W24" s="11">
        <v>88</v>
      </c>
      <c r="X24" s="11">
        <v>32</v>
      </c>
      <c r="Y24" s="17">
        <f t="shared" si="8"/>
        <v>7.7170418006430861</v>
      </c>
      <c r="Z24" s="11">
        <f t="shared" si="9"/>
        <v>282.68</v>
      </c>
      <c r="AA24" s="10">
        <f t="shared" si="10"/>
        <v>12.290434782608695</v>
      </c>
      <c r="AB24" s="18">
        <f t="shared" si="11"/>
        <v>1.0648082637611433</v>
      </c>
      <c r="AC24" s="19">
        <f t="shared" si="12"/>
        <v>0.56861115309052435</v>
      </c>
      <c r="AD24" s="20">
        <f t="shared" si="13"/>
        <v>0.56147540983606559</v>
      </c>
      <c r="AE24" s="11">
        <v>29</v>
      </c>
      <c r="AF24" s="11">
        <v>7</v>
      </c>
      <c r="AG24" s="11">
        <v>22</v>
      </c>
      <c r="AH24" s="7">
        <v>76</v>
      </c>
      <c r="AI24" s="7">
        <v>18</v>
      </c>
      <c r="AJ24" s="21">
        <f t="shared" si="14"/>
        <v>4.2222222222222223</v>
      </c>
    </row>
    <row r="25" spans="1:36" ht="18.75">
      <c r="A25" s="22">
        <v>18</v>
      </c>
      <c r="B25" s="23" t="s">
        <v>68</v>
      </c>
      <c r="C25" s="24">
        <v>12</v>
      </c>
      <c r="D25" s="24">
        <v>403</v>
      </c>
      <c r="E25" s="25">
        <v>23.2</v>
      </c>
      <c r="F25" s="26">
        <f t="shared" si="0"/>
        <v>14.524999999999999</v>
      </c>
      <c r="G25" s="27">
        <f t="shared" si="1"/>
        <v>17.300248138957816</v>
      </c>
      <c r="H25" s="28">
        <v>227</v>
      </c>
      <c r="I25" s="29">
        <f t="shared" si="2"/>
        <v>18.916666666666668</v>
      </c>
      <c r="J25" s="28">
        <f>248+(U25*3)+O25</f>
        <v>409</v>
      </c>
      <c r="K25" s="30">
        <f t="shared" si="3"/>
        <v>0.55501222493887525</v>
      </c>
      <c r="L25" s="24">
        <v>83</v>
      </c>
      <c r="M25" s="24">
        <v>155</v>
      </c>
      <c r="N25" s="31">
        <f t="shared" si="4"/>
        <v>0.53548387096774197</v>
      </c>
      <c r="O25" s="24">
        <v>68</v>
      </c>
      <c r="P25" s="24">
        <v>48</v>
      </c>
      <c r="Q25" s="31">
        <f>48/68</f>
        <v>0.70588235294117652</v>
      </c>
      <c r="R25" s="32">
        <f t="shared" si="5"/>
        <v>0.43870967741935485</v>
      </c>
      <c r="S25" s="33">
        <f t="shared" si="6"/>
        <v>29.92</v>
      </c>
      <c r="T25" s="24">
        <v>13</v>
      </c>
      <c r="U25" s="24">
        <v>31</v>
      </c>
      <c r="V25" s="31">
        <f t="shared" si="7"/>
        <v>0.41935483870967744</v>
      </c>
      <c r="W25" s="28">
        <v>93</v>
      </c>
      <c r="X25" s="28">
        <v>25</v>
      </c>
      <c r="Y25" s="34">
        <f t="shared" si="8"/>
        <v>11.712158808933001</v>
      </c>
      <c r="Z25" s="28">
        <f t="shared" si="9"/>
        <v>222.92000000000002</v>
      </c>
      <c r="AA25" s="27">
        <f t="shared" si="10"/>
        <v>18.576666666666668</v>
      </c>
      <c r="AB25" s="35">
        <f t="shared" si="11"/>
        <v>1.0183025300556252</v>
      </c>
      <c r="AC25" s="36">
        <f t="shared" si="12"/>
        <v>0.61377893142980744</v>
      </c>
      <c r="AD25" s="37">
        <f t="shared" si="13"/>
        <v>0.57741935483870965</v>
      </c>
      <c r="AE25" s="28">
        <v>39</v>
      </c>
      <c r="AF25" s="28">
        <v>6</v>
      </c>
      <c r="AG25" s="28">
        <v>15</v>
      </c>
      <c r="AH25" s="24">
        <v>28</v>
      </c>
      <c r="AI25" s="24">
        <v>38</v>
      </c>
      <c r="AJ25" s="38">
        <f t="shared" si="14"/>
        <v>0.73684210526315785</v>
      </c>
    </row>
    <row r="26" spans="1:36" ht="19.5" customHeight="1">
      <c r="A26" s="39">
        <v>19</v>
      </c>
      <c r="B26" s="41" t="s">
        <v>69</v>
      </c>
      <c r="C26" s="7">
        <v>35</v>
      </c>
      <c r="D26" s="7">
        <v>1051</v>
      </c>
      <c r="E26" s="8">
        <v>19.899999999999999</v>
      </c>
      <c r="F26" s="9">
        <f t="shared" si="0"/>
        <v>12.894285714285713</v>
      </c>
      <c r="G26" s="10">
        <f t="shared" si="1"/>
        <v>17.176022835394861</v>
      </c>
      <c r="H26" s="11">
        <v>544</v>
      </c>
      <c r="I26" s="12">
        <f t="shared" si="2"/>
        <v>15.542857142857143</v>
      </c>
      <c r="J26" s="11">
        <f>790+(U26*3)+O26</f>
        <v>1073</v>
      </c>
      <c r="K26" s="13">
        <f t="shared" si="3"/>
        <v>0.50698974836905875</v>
      </c>
      <c r="L26" s="7">
        <v>231</v>
      </c>
      <c r="M26" s="7">
        <v>433</v>
      </c>
      <c r="N26" s="14">
        <f t="shared" si="4"/>
        <v>0.53348729792147809</v>
      </c>
      <c r="O26" s="7">
        <v>169</v>
      </c>
      <c r="P26" s="7">
        <v>75</v>
      </c>
      <c r="Q26" s="14">
        <f>75/169</f>
        <v>0.4437869822485207</v>
      </c>
      <c r="R26" s="15">
        <f t="shared" si="5"/>
        <v>0.39030023094688221</v>
      </c>
      <c r="S26" s="16">
        <f t="shared" si="6"/>
        <v>74.36</v>
      </c>
      <c r="T26" s="7">
        <v>7</v>
      </c>
      <c r="U26" s="7">
        <v>38</v>
      </c>
      <c r="V26" s="14">
        <f t="shared" si="7"/>
        <v>0.18421052631578946</v>
      </c>
      <c r="W26" s="11">
        <v>189</v>
      </c>
      <c r="X26" s="11">
        <v>148</v>
      </c>
      <c r="Y26" s="17">
        <f t="shared" si="8"/>
        <v>12.825880114176975</v>
      </c>
      <c r="Z26" s="11">
        <f t="shared" si="9"/>
        <v>588.36</v>
      </c>
      <c r="AA26" s="10">
        <f t="shared" si="10"/>
        <v>16.810285714285715</v>
      </c>
      <c r="AB26" s="18">
        <f t="shared" si="11"/>
        <v>0.92460398395540144</v>
      </c>
      <c r="AC26" s="19">
        <f t="shared" si="12"/>
        <v>0.53610848312835069</v>
      </c>
      <c r="AD26" s="20">
        <f t="shared" si="13"/>
        <v>0.54157043879907618</v>
      </c>
      <c r="AE26" s="11">
        <v>103</v>
      </c>
      <c r="AF26" s="11">
        <v>15</v>
      </c>
      <c r="AG26" s="11">
        <v>51</v>
      </c>
      <c r="AH26" s="7">
        <v>80</v>
      </c>
      <c r="AI26" s="7">
        <v>81</v>
      </c>
      <c r="AJ26" s="21">
        <f t="shared" si="14"/>
        <v>0.98765432098765427</v>
      </c>
    </row>
    <row r="27" spans="1:36" ht="18.75">
      <c r="A27" s="43">
        <v>20</v>
      </c>
      <c r="B27" s="23" t="s">
        <v>70</v>
      </c>
      <c r="C27" s="24">
        <v>26</v>
      </c>
      <c r="D27" s="24">
        <v>770</v>
      </c>
      <c r="E27" s="25">
        <v>18.600000000000001</v>
      </c>
      <c r="F27" s="26">
        <f t="shared" si="0"/>
        <v>12.546153846153846</v>
      </c>
      <c r="G27" s="27">
        <f t="shared" si="1"/>
        <v>16.945454545454542</v>
      </c>
      <c r="H27" s="28">
        <v>450</v>
      </c>
      <c r="I27" s="29">
        <f t="shared" si="2"/>
        <v>17.307692307692307</v>
      </c>
      <c r="J27" s="28">
        <f>556+(U27*3)+O27</f>
        <v>855</v>
      </c>
      <c r="K27" s="30">
        <f t="shared" si="3"/>
        <v>0.52631578947368418</v>
      </c>
      <c r="L27" s="24">
        <v>171</v>
      </c>
      <c r="M27" s="24">
        <v>343</v>
      </c>
      <c r="N27" s="31">
        <f t="shared" si="4"/>
        <v>0.49854227405247814</v>
      </c>
      <c r="O27" s="24">
        <v>104</v>
      </c>
      <c r="P27" s="24">
        <v>79</v>
      </c>
      <c r="Q27" s="31">
        <f>79/104</f>
        <v>0.75961538461538458</v>
      </c>
      <c r="R27" s="32">
        <f t="shared" si="5"/>
        <v>0.30320699708454812</v>
      </c>
      <c r="S27" s="33">
        <f t="shared" si="6"/>
        <v>45.76</v>
      </c>
      <c r="T27" s="24">
        <v>26</v>
      </c>
      <c r="U27" s="24">
        <v>65</v>
      </c>
      <c r="V27" s="31">
        <f t="shared" si="7"/>
        <v>0.4</v>
      </c>
      <c r="W27" s="28">
        <v>140</v>
      </c>
      <c r="X27" s="28">
        <v>51</v>
      </c>
      <c r="Y27" s="34">
        <f t="shared" si="8"/>
        <v>9.9220779220779214</v>
      </c>
      <c r="Z27" s="28">
        <f t="shared" si="9"/>
        <v>443.76</v>
      </c>
      <c r="AA27" s="27">
        <f t="shared" si="10"/>
        <v>17.067692307692308</v>
      </c>
      <c r="AB27" s="35">
        <f t="shared" si="11"/>
        <v>1.014061654948621</v>
      </c>
      <c r="AC27" s="36">
        <f t="shared" si="12"/>
        <v>0.57876324724765926</v>
      </c>
      <c r="AD27" s="37">
        <f t="shared" si="13"/>
        <v>0.53644314868804666</v>
      </c>
      <c r="AE27" s="28">
        <v>76</v>
      </c>
      <c r="AF27" s="28">
        <v>25</v>
      </c>
      <c r="AG27" s="28">
        <v>25</v>
      </c>
      <c r="AH27" s="24">
        <v>33</v>
      </c>
      <c r="AI27" s="24">
        <v>55</v>
      </c>
      <c r="AJ27" s="38">
        <f t="shared" si="14"/>
        <v>0.6</v>
      </c>
    </row>
    <row r="28" spans="1:36" ht="18.75">
      <c r="A28" s="42">
        <v>21</v>
      </c>
      <c r="B28" s="41" t="s">
        <v>71</v>
      </c>
      <c r="C28" s="7">
        <v>28</v>
      </c>
      <c r="D28" s="7">
        <v>837</v>
      </c>
      <c r="E28" s="8">
        <v>14.8</v>
      </c>
      <c r="F28" s="9">
        <f t="shared" si="0"/>
        <v>12.060714285714285</v>
      </c>
      <c r="G28" s="10">
        <f t="shared" si="1"/>
        <v>16.138590203106332</v>
      </c>
      <c r="H28" s="11">
        <v>495</v>
      </c>
      <c r="I28" s="12">
        <f t="shared" si="2"/>
        <v>17.678571428571427</v>
      </c>
      <c r="J28" s="11">
        <f>304+(U28*3)+O28</f>
        <v>1034</v>
      </c>
      <c r="K28" s="13">
        <f t="shared" si="3"/>
        <v>0.47872340425531917</v>
      </c>
      <c r="L28" s="7">
        <v>170</v>
      </c>
      <c r="M28" s="7">
        <v>364</v>
      </c>
      <c r="N28" s="14">
        <f t="shared" si="4"/>
        <v>0.46703296703296704</v>
      </c>
      <c r="O28" s="7">
        <v>94</v>
      </c>
      <c r="P28" s="7">
        <v>75</v>
      </c>
      <c r="Q28" s="14">
        <f>75/94</f>
        <v>0.7978723404255319</v>
      </c>
      <c r="R28" s="15">
        <f t="shared" si="5"/>
        <v>0.25824175824175827</v>
      </c>
      <c r="S28" s="16">
        <f t="shared" si="6"/>
        <v>41.36</v>
      </c>
      <c r="T28" s="7">
        <v>80</v>
      </c>
      <c r="U28" s="7">
        <v>212</v>
      </c>
      <c r="V28" s="14">
        <f t="shared" si="7"/>
        <v>0.37735849056603776</v>
      </c>
      <c r="W28" s="11">
        <v>56</v>
      </c>
      <c r="X28" s="11">
        <v>21</v>
      </c>
      <c r="Y28" s="17">
        <f t="shared" si="8"/>
        <v>3.6798088410991636</v>
      </c>
      <c r="Z28" s="11">
        <f t="shared" si="9"/>
        <v>460.36</v>
      </c>
      <c r="AA28" s="10">
        <f t="shared" si="10"/>
        <v>16.44142857142857</v>
      </c>
      <c r="AB28" s="18">
        <f t="shared" si="11"/>
        <v>1.0752454600747241</v>
      </c>
      <c r="AC28" s="19">
        <f t="shared" si="12"/>
        <v>0.61056838365896982</v>
      </c>
      <c r="AD28" s="20">
        <f t="shared" si="13"/>
        <v>0.57692307692307687</v>
      </c>
      <c r="AE28" s="11">
        <v>39</v>
      </c>
      <c r="AF28" s="11">
        <v>1</v>
      </c>
      <c r="AG28" s="11">
        <v>37</v>
      </c>
      <c r="AH28" s="7">
        <v>55</v>
      </c>
      <c r="AI28" s="7">
        <v>55</v>
      </c>
      <c r="AJ28" s="21">
        <f t="shared" si="14"/>
        <v>1</v>
      </c>
    </row>
    <row r="29" spans="1:36" ht="18.75">
      <c r="A29" s="43">
        <v>22</v>
      </c>
      <c r="B29" s="23" t="s">
        <v>72</v>
      </c>
      <c r="C29" s="24">
        <v>27</v>
      </c>
      <c r="D29" s="24">
        <v>748</v>
      </c>
      <c r="E29" s="25">
        <v>19.600000000000001</v>
      </c>
      <c r="F29" s="26">
        <f t="shared" si="0"/>
        <v>11.125925925925925</v>
      </c>
      <c r="G29" s="27">
        <f t="shared" si="1"/>
        <v>16.064171122994651</v>
      </c>
      <c r="H29" s="28">
        <v>361</v>
      </c>
      <c r="I29" s="29">
        <f t="shared" si="2"/>
        <v>13.37037037037037</v>
      </c>
      <c r="J29" s="28">
        <f>402+(U29*3)+O29</f>
        <v>723</v>
      </c>
      <c r="K29" s="30">
        <f t="shared" si="3"/>
        <v>0.49930843706777317</v>
      </c>
      <c r="L29" s="24">
        <v>132</v>
      </c>
      <c r="M29" s="24">
        <v>272</v>
      </c>
      <c r="N29" s="31">
        <f t="shared" si="4"/>
        <v>0.48529411764705882</v>
      </c>
      <c r="O29" s="24">
        <v>108</v>
      </c>
      <c r="P29" s="24">
        <v>71</v>
      </c>
      <c r="Q29" s="31">
        <f>71/108</f>
        <v>0.65740740740740744</v>
      </c>
      <c r="R29" s="32">
        <f t="shared" si="5"/>
        <v>0.39705882352941174</v>
      </c>
      <c r="S29" s="33">
        <f t="shared" si="6"/>
        <v>47.52</v>
      </c>
      <c r="T29" s="24">
        <v>26</v>
      </c>
      <c r="U29" s="24">
        <v>71</v>
      </c>
      <c r="V29" s="31">
        <f t="shared" si="7"/>
        <v>0.36619718309859156</v>
      </c>
      <c r="W29" s="28">
        <v>248</v>
      </c>
      <c r="X29" s="28">
        <v>71</v>
      </c>
      <c r="Y29" s="34">
        <f t="shared" si="8"/>
        <v>17.058823529411764</v>
      </c>
      <c r="Z29" s="28">
        <f t="shared" si="9"/>
        <v>382.52</v>
      </c>
      <c r="AA29" s="27">
        <f t="shared" si="10"/>
        <v>14.167407407407406</v>
      </c>
      <c r="AB29" s="35">
        <f t="shared" si="11"/>
        <v>0.94374150371222421</v>
      </c>
      <c r="AC29" s="36">
        <f t="shared" si="12"/>
        <v>0.56490986479719585</v>
      </c>
      <c r="AD29" s="37">
        <f t="shared" si="13"/>
        <v>0.53308823529411764</v>
      </c>
      <c r="AE29" s="28">
        <v>90</v>
      </c>
      <c r="AF29" s="28">
        <v>39</v>
      </c>
      <c r="AG29" s="28">
        <v>17</v>
      </c>
      <c r="AH29" s="24">
        <v>32</v>
      </c>
      <c r="AI29" s="24">
        <v>63</v>
      </c>
      <c r="AJ29" s="38">
        <f t="shared" si="14"/>
        <v>0.50793650793650791</v>
      </c>
    </row>
    <row r="30" spans="1:36" ht="18.75">
      <c r="A30" s="42">
        <v>23</v>
      </c>
      <c r="B30" s="41" t="s">
        <v>73</v>
      </c>
      <c r="C30" s="7">
        <v>14</v>
      </c>
      <c r="D30" s="7">
        <v>435</v>
      </c>
      <c r="E30" s="8">
        <v>18.8</v>
      </c>
      <c r="F30" s="9">
        <f t="shared" si="0"/>
        <v>12.335714285714285</v>
      </c>
      <c r="G30" s="10">
        <f t="shared" si="1"/>
        <v>15.880459770114943</v>
      </c>
      <c r="H30" s="11">
        <v>224</v>
      </c>
      <c r="I30" s="12">
        <f t="shared" si="2"/>
        <v>16</v>
      </c>
      <c r="J30" s="11">
        <v>475</v>
      </c>
      <c r="K30" s="13">
        <f t="shared" si="3"/>
        <v>0.47157894736842104</v>
      </c>
      <c r="L30" s="7">
        <v>68</v>
      </c>
      <c r="M30" s="7">
        <v>163</v>
      </c>
      <c r="N30" s="14">
        <f t="shared" si="4"/>
        <v>0.41717791411042943</v>
      </c>
      <c r="O30" s="7">
        <v>62</v>
      </c>
      <c r="P30" s="7">
        <v>49</v>
      </c>
      <c r="Q30" s="14">
        <v>0.81399999999999995</v>
      </c>
      <c r="R30" s="15">
        <f t="shared" si="5"/>
        <v>0.38036809815950923</v>
      </c>
      <c r="S30" s="16">
        <f t="shared" si="6"/>
        <v>27.28</v>
      </c>
      <c r="T30" s="7">
        <v>33</v>
      </c>
      <c r="U30" s="7">
        <v>87</v>
      </c>
      <c r="V30" s="14">
        <f t="shared" si="7"/>
        <v>0.37931034482758619</v>
      </c>
      <c r="W30" s="11">
        <v>49</v>
      </c>
      <c r="X30" s="11">
        <v>7</v>
      </c>
      <c r="Y30" s="17">
        <f t="shared" si="8"/>
        <v>5.1494252873563218</v>
      </c>
      <c r="Z30" s="11">
        <f t="shared" si="9"/>
        <v>231.28</v>
      </c>
      <c r="AA30" s="10">
        <f t="shared" si="10"/>
        <v>16.52</v>
      </c>
      <c r="AB30" s="18">
        <f t="shared" si="11"/>
        <v>0.96852300242130751</v>
      </c>
      <c r="AC30" s="19">
        <f t="shared" si="12"/>
        <v>0.58860626445238595</v>
      </c>
      <c r="AD30" s="20">
        <f t="shared" si="13"/>
        <v>0.51840490797546013</v>
      </c>
      <c r="AE30" s="11">
        <v>27</v>
      </c>
      <c r="AF30" s="11">
        <v>0</v>
      </c>
      <c r="AG30" s="11">
        <v>17</v>
      </c>
      <c r="AH30" s="7">
        <v>80</v>
      </c>
      <c r="AI30" s="7">
        <v>41</v>
      </c>
      <c r="AJ30" s="21">
        <f t="shared" si="14"/>
        <v>1.9512195121951219</v>
      </c>
    </row>
    <row r="31" spans="1:36" ht="18.75">
      <c r="A31" s="43">
        <v>24</v>
      </c>
      <c r="B31" s="23" t="s">
        <v>74</v>
      </c>
      <c r="C31" s="24">
        <v>22</v>
      </c>
      <c r="D31" s="24">
        <v>666</v>
      </c>
      <c r="E31" s="25">
        <v>18.600000000000001</v>
      </c>
      <c r="F31" s="26">
        <f t="shared" si="0"/>
        <v>11.936363636363639</v>
      </c>
      <c r="G31" s="27">
        <f t="shared" si="1"/>
        <v>15.771771771771775</v>
      </c>
      <c r="H31" s="28">
        <v>376</v>
      </c>
      <c r="I31" s="29">
        <f t="shared" si="2"/>
        <v>17.09090909090909</v>
      </c>
      <c r="J31" s="28">
        <f>394+(U31*3)+O31</f>
        <v>813</v>
      </c>
      <c r="K31" s="30">
        <f t="shared" si="3"/>
        <v>0.46248462484624847</v>
      </c>
      <c r="L31" s="24">
        <v>127</v>
      </c>
      <c r="M31" s="24">
        <v>294</v>
      </c>
      <c r="N31" s="31">
        <f t="shared" si="4"/>
        <v>0.43197278911564624</v>
      </c>
      <c r="O31" s="24">
        <v>128</v>
      </c>
      <c r="P31" s="24">
        <v>90</v>
      </c>
      <c r="Q31" s="31">
        <f>90/128</f>
        <v>0.703125</v>
      </c>
      <c r="R31" s="32">
        <f t="shared" si="5"/>
        <v>0.43537414965986393</v>
      </c>
      <c r="S31" s="33">
        <f t="shared" si="6"/>
        <v>56.32</v>
      </c>
      <c r="T31" s="24">
        <v>32</v>
      </c>
      <c r="U31" s="24">
        <v>97</v>
      </c>
      <c r="V31" s="31">
        <f t="shared" si="7"/>
        <v>0.32989690721649484</v>
      </c>
      <c r="W31" s="28">
        <v>119</v>
      </c>
      <c r="X31" s="28">
        <v>35</v>
      </c>
      <c r="Y31" s="34">
        <f t="shared" si="8"/>
        <v>9.2492492492492495</v>
      </c>
      <c r="Z31" s="28">
        <f t="shared" si="9"/>
        <v>401.32</v>
      </c>
      <c r="AA31" s="27">
        <f t="shared" si="10"/>
        <v>18.241818181818182</v>
      </c>
      <c r="AB31" s="35">
        <f t="shared" si="11"/>
        <v>0.93690820293032995</v>
      </c>
      <c r="AC31" s="36">
        <f t="shared" si="12"/>
        <v>0.53665220369947475</v>
      </c>
      <c r="AD31" s="37">
        <f t="shared" si="13"/>
        <v>0.48639455782312924</v>
      </c>
      <c r="AE31" s="28">
        <v>31</v>
      </c>
      <c r="AF31" s="28">
        <v>5</v>
      </c>
      <c r="AG31" s="28">
        <v>18</v>
      </c>
      <c r="AH31" s="24">
        <v>55</v>
      </c>
      <c r="AI31" s="24">
        <v>51</v>
      </c>
      <c r="AJ31" s="38">
        <f t="shared" si="14"/>
        <v>1.0784313725490196</v>
      </c>
    </row>
    <row r="32" spans="1:36" ht="18.75">
      <c r="A32" s="42">
        <v>25</v>
      </c>
      <c r="B32" s="41" t="s">
        <v>75</v>
      </c>
      <c r="C32" s="7">
        <v>17</v>
      </c>
      <c r="D32" s="7">
        <v>444</v>
      </c>
      <c r="E32" s="8">
        <v>13.7</v>
      </c>
      <c r="F32" s="9">
        <f t="shared" si="0"/>
        <v>10.299999999999997</v>
      </c>
      <c r="G32" s="10">
        <f t="shared" si="1"/>
        <v>15.774774774774771</v>
      </c>
      <c r="H32" s="11">
        <v>239</v>
      </c>
      <c r="I32" s="12">
        <f t="shared" si="2"/>
        <v>14.058823529411764</v>
      </c>
      <c r="J32" s="11">
        <f>240+(U32*3)+O32</f>
        <v>433</v>
      </c>
      <c r="K32" s="13">
        <f t="shared" si="3"/>
        <v>0.55196304849884525</v>
      </c>
      <c r="L32" s="7">
        <v>88</v>
      </c>
      <c r="M32" s="7">
        <v>170</v>
      </c>
      <c r="N32" s="14">
        <f t="shared" si="4"/>
        <v>0.51764705882352946</v>
      </c>
      <c r="O32" s="7">
        <v>43</v>
      </c>
      <c r="P32" s="7">
        <v>38</v>
      </c>
      <c r="Q32" s="14">
        <f>38/43</f>
        <v>0.88372093023255816</v>
      </c>
      <c r="R32" s="15">
        <f t="shared" si="5"/>
        <v>0.25294117647058822</v>
      </c>
      <c r="S32" s="16">
        <f t="shared" si="6"/>
        <v>18.920000000000002</v>
      </c>
      <c r="T32" s="7">
        <v>25</v>
      </c>
      <c r="U32" s="7">
        <v>50</v>
      </c>
      <c r="V32" s="14">
        <f t="shared" si="7"/>
        <v>0.5</v>
      </c>
      <c r="W32" s="11">
        <v>42</v>
      </c>
      <c r="X32" s="11">
        <v>15</v>
      </c>
      <c r="Y32" s="17">
        <f t="shared" si="8"/>
        <v>5.1351351351351351</v>
      </c>
      <c r="Z32" s="11">
        <f t="shared" si="9"/>
        <v>209.92000000000002</v>
      </c>
      <c r="AA32" s="10">
        <f t="shared" si="10"/>
        <v>12.348235294117648</v>
      </c>
      <c r="AB32" s="18">
        <f t="shared" si="11"/>
        <v>1.1385289634146341</v>
      </c>
      <c r="AC32" s="19">
        <f t="shared" si="12"/>
        <v>0.63254287529112851</v>
      </c>
      <c r="AD32" s="20">
        <f t="shared" si="13"/>
        <v>0.5911764705882353</v>
      </c>
      <c r="AE32" s="11">
        <v>21</v>
      </c>
      <c r="AF32" s="11">
        <v>5</v>
      </c>
      <c r="AG32" s="11">
        <v>10</v>
      </c>
      <c r="AH32" s="7">
        <v>21</v>
      </c>
      <c r="AI32" s="7">
        <v>21</v>
      </c>
      <c r="AJ32" s="21">
        <f t="shared" si="14"/>
        <v>1</v>
      </c>
    </row>
    <row r="33" spans="1:36" ht="18.75">
      <c r="A33" s="43">
        <v>26</v>
      </c>
      <c r="B33" s="23" t="s">
        <v>76</v>
      </c>
      <c r="C33" s="24">
        <v>16</v>
      </c>
      <c r="D33" s="24">
        <v>541</v>
      </c>
      <c r="E33" s="25">
        <v>19.600000000000001</v>
      </c>
      <c r="F33" s="26">
        <f t="shared" si="0"/>
        <v>13.231250000000003</v>
      </c>
      <c r="G33" s="27">
        <f t="shared" si="1"/>
        <v>15.652495378927915</v>
      </c>
      <c r="H33" s="28">
        <v>330</v>
      </c>
      <c r="I33" s="29">
        <f t="shared" si="2"/>
        <v>20.625</v>
      </c>
      <c r="J33" s="28">
        <f>242+(U33*3)+O33</f>
        <v>777</v>
      </c>
      <c r="K33" s="30">
        <f t="shared" si="3"/>
        <v>0.42471042471042469</v>
      </c>
      <c r="L33" s="24">
        <v>99</v>
      </c>
      <c r="M33" s="24">
        <v>266</v>
      </c>
      <c r="N33" s="31">
        <f t="shared" si="4"/>
        <v>0.37218045112781956</v>
      </c>
      <c r="O33" s="24">
        <v>100</v>
      </c>
      <c r="P33" s="24">
        <v>81</v>
      </c>
      <c r="Q33" s="31">
        <f>81/100</f>
        <v>0.81</v>
      </c>
      <c r="R33" s="32">
        <f t="shared" si="5"/>
        <v>0.37593984962406013</v>
      </c>
      <c r="S33" s="33">
        <f t="shared" si="6"/>
        <v>44</v>
      </c>
      <c r="T33" s="24">
        <v>51</v>
      </c>
      <c r="U33" s="24">
        <v>145</v>
      </c>
      <c r="V33" s="31">
        <f t="shared" si="7"/>
        <v>0.35172413793103446</v>
      </c>
      <c r="W33" s="28">
        <v>63</v>
      </c>
      <c r="X33" s="28">
        <v>13</v>
      </c>
      <c r="Y33" s="34">
        <f t="shared" si="8"/>
        <v>5.6192236598890943</v>
      </c>
      <c r="Z33" s="28">
        <f t="shared" si="9"/>
        <v>373</v>
      </c>
      <c r="AA33" s="27">
        <f t="shared" si="10"/>
        <v>23.3125</v>
      </c>
      <c r="AB33" s="35">
        <f t="shared" si="11"/>
        <v>0.88471849865951746</v>
      </c>
      <c r="AC33" s="36">
        <f t="shared" si="12"/>
        <v>0.532258064516129</v>
      </c>
      <c r="AD33" s="37">
        <f t="shared" si="13"/>
        <v>0.46804511278195488</v>
      </c>
      <c r="AE33" s="28">
        <v>32</v>
      </c>
      <c r="AF33" s="28">
        <v>4</v>
      </c>
      <c r="AG33" s="28">
        <v>27</v>
      </c>
      <c r="AH33" s="24">
        <v>77</v>
      </c>
      <c r="AI33" s="24">
        <v>63</v>
      </c>
      <c r="AJ33" s="38">
        <f t="shared" si="14"/>
        <v>1.2222222222222223</v>
      </c>
    </row>
    <row r="34" spans="1:36" ht="18.75">
      <c r="A34" s="42">
        <v>27</v>
      </c>
      <c r="B34" s="41" t="s">
        <v>77</v>
      </c>
      <c r="C34" s="7">
        <v>18</v>
      </c>
      <c r="D34" s="7">
        <v>535</v>
      </c>
      <c r="E34" s="8">
        <v>17.7</v>
      </c>
      <c r="F34" s="9">
        <f t="shared" si="0"/>
        <v>11.522222222222222</v>
      </c>
      <c r="G34" s="10">
        <f t="shared" si="1"/>
        <v>15.506542056074768</v>
      </c>
      <c r="H34" s="11">
        <v>287</v>
      </c>
      <c r="I34" s="12">
        <f t="shared" si="2"/>
        <v>15.944444444444445</v>
      </c>
      <c r="J34" s="11">
        <f>266+(U34*3)+O34</f>
        <v>582</v>
      </c>
      <c r="K34" s="13">
        <f t="shared" si="3"/>
        <v>0.49312714776632305</v>
      </c>
      <c r="L34" s="7">
        <v>100</v>
      </c>
      <c r="M34" s="7">
        <v>212</v>
      </c>
      <c r="N34" s="14">
        <f t="shared" si="4"/>
        <v>0.47169811320754718</v>
      </c>
      <c r="O34" s="7">
        <v>79</v>
      </c>
      <c r="P34" s="7">
        <v>58</v>
      </c>
      <c r="Q34" s="14">
        <f>58/79</f>
        <v>0.73417721518987344</v>
      </c>
      <c r="R34" s="15">
        <f t="shared" si="5"/>
        <v>0.37264150943396224</v>
      </c>
      <c r="S34" s="16">
        <f t="shared" si="6"/>
        <v>34.76</v>
      </c>
      <c r="T34" s="7">
        <v>29</v>
      </c>
      <c r="U34" s="7">
        <v>79</v>
      </c>
      <c r="V34" s="14">
        <f t="shared" si="7"/>
        <v>0.36708860759493672</v>
      </c>
      <c r="W34" s="11">
        <v>79</v>
      </c>
      <c r="X34" s="11">
        <v>20</v>
      </c>
      <c r="Y34" s="17">
        <f t="shared" si="8"/>
        <v>7.4018691588785046</v>
      </c>
      <c r="Z34" s="11">
        <f t="shared" si="9"/>
        <v>278.76</v>
      </c>
      <c r="AA34" s="10">
        <f t="shared" si="10"/>
        <v>15.486666666666666</v>
      </c>
      <c r="AB34" s="18">
        <f t="shared" si="11"/>
        <v>1.0295594776868993</v>
      </c>
      <c r="AC34" s="19">
        <f t="shared" si="12"/>
        <v>0.58153671583725075</v>
      </c>
      <c r="AD34" s="20">
        <f t="shared" si="13"/>
        <v>0.54009433962264153</v>
      </c>
      <c r="AE34" s="11">
        <v>28</v>
      </c>
      <c r="AF34" s="11">
        <v>3</v>
      </c>
      <c r="AG34" s="11">
        <v>21</v>
      </c>
      <c r="AH34" s="7">
        <v>28</v>
      </c>
      <c r="AI34" s="7">
        <v>32</v>
      </c>
      <c r="AJ34" s="21">
        <f t="shared" si="14"/>
        <v>0.875</v>
      </c>
    </row>
    <row r="35" spans="1:36" ht="18.75">
      <c r="A35" s="43">
        <v>28</v>
      </c>
      <c r="B35" s="23" t="s">
        <v>78</v>
      </c>
      <c r="C35" s="24">
        <v>14</v>
      </c>
      <c r="D35" s="24">
        <v>409</v>
      </c>
      <c r="E35" s="25">
        <v>18.100000000000001</v>
      </c>
      <c r="F35" s="26">
        <f t="shared" si="0"/>
        <v>11.321428571428571</v>
      </c>
      <c r="G35" s="27">
        <f t="shared" si="1"/>
        <v>15.501222493887528</v>
      </c>
      <c r="H35" s="28">
        <v>248</v>
      </c>
      <c r="I35" s="29">
        <f t="shared" si="2"/>
        <v>17.714285714285715</v>
      </c>
      <c r="J35" s="28">
        <f>366+(U35*3)+O35</f>
        <v>535</v>
      </c>
      <c r="K35" s="30">
        <f t="shared" si="3"/>
        <v>0.46355140186915889</v>
      </c>
      <c r="L35" s="24">
        <v>100</v>
      </c>
      <c r="M35" s="24">
        <v>207</v>
      </c>
      <c r="N35" s="31">
        <f t="shared" si="4"/>
        <v>0.48309178743961351</v>
      </c>
      <c r="O35" s="24">
        <v>97</v>
      </c>
      <c r="P35" s="24">
        <v>43</v>
      </c>
      <c r="Q35" s="31">
        <f>43/97</f>
        <v>0.44329896907216493</v>
      </c>
      <c r="R35" s="32">
        <f t="shared" si="5"/>
        <v>0.46859903381642515</v>
      </c>
      <c r="S35" s="33">
        <f t="shared" si="6"/>
        <v>42.68</v>
      </c>
      <c r="T35" s="24">
        <v>5</v>
      </c>
      <c r="U35" s="24">
        <v>24</v>
      </c>
      <c r="V35" s="31">
        <f t="shared" si="7"/>
        <v>0.20833333333333334</v>
      </c>
      <c r="W35" s="28">
        <v>84</v>
      </c>
      <c r="X35" s="28">
        <v>41</v>
      </c>
      <c r="Y35" s="34">
        <f t="shared" si="8"/>
        <v>12.224938875305625</v>
      </c>
      <c r="Z35" s="28">
        <f t="shared" si="9"/>
        <v>281.68</v>
      </c>
      <c r="AA35" s="27">
        <f t="shared" si="10"/>
        <v>20.12</v>
      </c>
      <c r="AB35" s="35">
        <f t="shared" si="11"/>
        <v>0.88043169554103951</v>
      </c>
      <c r="AC35" s="36">
        <f t="shared" si="12"/>
        <v>0.49663569368792054</v>
      </c>
      <c r="AD35" s="37">
        <f t="shared" si="13"/>
        <v>0.49516908212560384</v>
      </c>
      <c r="AE35" s="28">
        <v>26</v>
      </c>
      <c r="AF35" s="28">
        <v>21</v>
      </c>
      <c r="AG35" s="28">
        <v>8</v>
      </c>
      <c r="AH35" s="24">
        <v>4</v>
      </c>
      <c r="AI35" s="24">
        <v>32</v>
      </c>
      <c r="AJ35" s="38">
        <f t="shared" si="14"/>
        <v>0.125</v>
      </c>
    </row>
    <row r="36" spans="1:36" ht="18.75">
      <c r="A36" s="42">
        <v>29</v>
      </c>
      <c r="B36" s="41" t="s">
        <v>79</v>
      </c>
      <c r="C36" s="7">
        <v>11</v>
      </c>
      <c r="D36" s="7">
        <v>339</v>
      </c>
      <c r="E36" s="8">
        <v>16.399999999999999</v>
      </c>
      <c r="F36" s="9">
        <f t="shared" si="0"/>
        <v>11.636363636363633</v>
      </c>
      <c r="G36" s="10">
        <f t="shared" si="1"/>
        <v>15.103244837758108</v>
      </c>
      <c r="H36" s="11">
        <v>173</v>
      </c>
      <c r="I36" s="12">
        <f t="shared" si="2"/>
        <v>15.727272727272727</v>
      </c>
      <c r="J36" s="11">
        <v>408</v>
      </c>
      <c r="K36" s="13">
        <f t="shared" si="3"/>
        <v>0.42401960784313725</v>
      </c>
      <c r="L36" s="7">
        <v>58</v>
      </c>
      <c r="M36" s="7">
        <v>148</v>
      </c>
      <c r="N36" s="14">
        <f t="shared" si="4"/>
        <v>0.39189189189189189</v>
      </c>
      <c r="O36" s="7">
        <v>40</v>
      </c>
      <c r="P36" s="7">
        <v>33</v>
      </c>
      <c r="Q36" s="14">
        <v>0.81399999999999995</v>
      </c>
      <c r="R36" s="15">
        <f t="shared" si="5"/>
        <v>0.27027027027027029</v>
      </c>
      <c r="S36" s="16">
        <f t="shared" si="6"/>
        <v>17.600000000000001</v>
      </c>
      <c r="T36" s="7">
        <v>24</v>
      </c>
      <c r="U36" s="7">
        <v>72</v>
      </c>
      <c r="V36" s="14">
        <f t="shared" si="7"/>
        <v>0.33333333333333331</v>
      </c>
      <c r="W36" s="11">
        <v>48</v>
      </c>
      <c r="X36" s="11">
        <v>7</v>
      </c>
      <c r="Y36" s="17">
        <f t="shared" si="8"/>
        <v>6.4896755162241888</v>
      </c>
      <c r="Z36" s="11">
        <f t="shared" si="9"/>
        <v>190.6</v>
      </c>
      <c r="AA36" s="10">
        <f t="shared" si="10"/>
        <v>17.327272727272728</v>
      </c>
      <c r="AB36" s="18">
        <f t="shared" si="11"/>
        <v>0.9076600209863589</v>
      </c>
      <c r="AC36" s="19">
        <f t="shared" si="12"/>
        <v>0.52234299516908211</v>
      </c>
      <c r="AD36" s="20">
        <f t="shared" si="13"/>
        <v>0.47297297297297297</v>
      </c>
      <c r="AE36" s="11">
        <v>20</v>
      </c>
      <c r="AF36" s="11">
        <v>3</v>
      </c>
      <c r="AG36" s="11">
        <v>19</v>
      </c>
      <c r="AH36" s="7">
        <v>44</v>
      </c>
      <c r="AI36" s="7">
        <v>25</v>
      </c>
      <c r="AJ36" s="21">
        <f t="shared" si="14"/>
        <v>1.76</v>
      </c>
    </row>
    <row r="37" spans="1:36" ht="18.75">
      <c r="A37" s="43">
        <v>30</v>
      </c>
      <c r="B37" s="44" t="s">
        <v>80</v>
      </c>
      <c r="C37" s="24">
        <v>22</v>
      </c>
      <c r="D37" s="24">
        <v>595</v>
      </c>
      <c r="E37" s="25">
        <v>12.8</v>
      </c>
      <c r="F37" s="26">
        <f t="shared" si="0"/>
        <v>10.009090909090911</v>
      </c>
      <c r="G37" s="27">
        <f t="shared" si="1"/>
        <v>14.803361344537819</v>
      </c>
      <c r="H37" s="28">
        <v>332</v>
      </c>
      <c r="I37" s="29">
        <f t="shared" si="2"/>
        <v>15.090909090909092</v>
      </c>
      <c r="J37" s="28">
        <f>434+(U37*3)+O37</f>
        <v>745</v>
      </c>
      <c r="K37" s="30">
        <f t="shared" si="3"/>
        <v>0.44563758389261743</v>
      </c>
      <c r="L37" s="24">
        <v>125</v>
      </c>
      <c r="M37" s="24">
        <v>291</v>
      </c>
      <c r="N37" s="31">
        <f t="shared" si="4"/>
        <v>0.42955326460481097</v>
      </c>
      <c r="O37" s="24">
        <v>89</v>
      </c>
      <c r="P37" s="24">
        <v>61</v>
      </c>
      <c r="Q37" s="31">
        <f>61/89</f>
        <v>0.6853932584269663</v>
      </c>
      <c r="R37" s="32">
        <f t="shared" si="5"/>
        <v>0.30584192439862545</v>
      </c>
      <c r="S37" s="33">
        <f t="shared" si="6"/>
        <v>39.160000000000004</v>
      </c>
      <c r="T37" s="24">
        <v>21</v>
      </c>
      <c r="U37" s="24">
        <v>74</v>
      </c>
      <c r="V37" s="31">
        <f t="shared" si="7"/>
        <v>0.28378378378378377</v>
      </c>
      <c r="W37" s="28">
        <v>40</v>
      </c>
      <c r="X37" s="28">
        <v>33</v>
      </c>
      <c r="Y37" s="34">
        <f t="shared" si="8"/>
        <v>4.9075630252100835</v>
      </c>
      <c r="Z37" s="28">
        <f t="shared" si="9"/>
        <v>394.16</v>
      </c>
      <c r="AA37" s="27">
        <f t="shared" si="10"/>
        <v>17.916363636363638</v>
      </c>
      <c r="AB37" s="35">
        <f t="shared" si="11"/>
        <v>0.84229754414450975</v>
      </c>
      <c r="AC37" s="36">
        <f t="shared" si="12"/>
        <v>0.50278652774412402</v>
      </c>
      <c r="AD37" s="37">
        <f t="shared" si="13"/>
        <v>0.46563573883161513</v>
      </c>
      <c r="AE37" s="28">
        <v>35</v>
      </c>
      <c r="AF37" s="28">
        <v>1</v>
      </c>
      <c r="AG37" s="28">
        <v>54</v>
      </c>
      <c r="AH37" s="24">
        <v>59</v>
      </c>
      <c r="AI37" s="24">
        <v>64</v>
      </c>
      <c r="AJ37" s="38">
        <f t="shared" si="14"/>
        <v>0.921875</v>
      </c>
    </row>
    <row r="38" spans="1:36" ht="18.75">
      <c r="A38" s="42">
        <v>31</v>
      </c>
      <c r="B38" s="41" t="s">
        <v>81</v>
      </c>
      <c r="C38" s="7">
        <v>32</v>
      </c>
      <c r="D38" s="7">
        <f>618+338</f>
        <v>956</v>
      </c>
      <c r="E38" s="8">
        <v>15.8</v>
      </c>
      <c r="F38" s="9">
        <f t="shared" si="0"/>
        <v>10.831250000000001</v>
      </c>
      <c r="G38" s="10">
        <f t="shared" si="1"/>
        <v>14.502092050209205</v>
      </c>
      <c r="H38" s="11">
        <v>477</v>
      </c>
      <c r="I38" s="12">
        <f t="shared" si="2"/>
        <v>14.90625</v>
      </c>
      <c r="J38" s="11">
        <v>1064</v>
      </c>
      <c r="K38" s="13">
        <f t="shared" si="3"/>
        <v>0.44830827067669171</v>
      </c>
      <c r="L38" s="7">
        <v>150</v>
      </c>
      <c r="M38" s="7">
        <v>360</v>
      </c>
      <c r="N38" s="14">
        <f t="shared" si="4"/>
        <v>0.41666666666666669</v>
      </c>
      <c r="O38" s="7">
        <v>122</v>
      </c>
      <c r="P38" s="7">
        <v>100</v>
      </c>
      <c r="Q38" s="14">
        <f>100/122</f>
        <v>0.81967213114754101</v>
      </c>
      <c r="R38" s="15">
        <f t="shared" si="5"/>
        <v>0.33888888888888891</v>
      </c>
      <c r="S38" s="16">
        <f t="shared" si="6"/>
        <v>53.68</v>
      </c>
      <c r="T38" s="7">
        <v>77</v>
      </c>
      <c r="U38" s="7">
        <v>222</v>
      </c>
      <c r="V38" s="14">
        <f t="shared" si="7"/>
        <v>0.34684684684684686</v>
      </c>
      <c r="W38" s="11">
        <v>107</v>
      </c>
      <c r="X38" s="11">
        <v>20</v>
      </c>
      <c r="Y38" s="17">
        <f t="shared" si="8"/>
        <v>5.3138075313807533</v>
      </c>
      <c r="Z38" s="11">
        <f t="shared" si="9"/>
        <v>504.68</v>
      </c>
      <c r="AA38" s="10">
        <f t="shared" si="10"/>
        <v>15.77125</v>
      </c>
      <c r="AB38" s="18">
        <f t="shared" si="11"/>
        <v>0.9451533645082032</v>
      </c>
      <c r="AC38" s="19">
        <f t="shared" si="12"/>
        <v>0.57653258557339004</v>
      </c>
      <c r="AD38" s="20">
        <f t="shared" si="13"/>
        <v>0.52361111111111114</v>
      </c>
      <c r="AE38" s="11">
        <v>34</v>
      </c>
      <c r="AF38" s="11">
        <v>3</v>
      </c>
      <c r="AG38" s="11">
        <v>26</v>
      </c>
      <c r="AH38" s="7">
        <v>144</v>
      </c>
      <c r="AI38" s="7">
        <v>91</v>
      </c>
      <c r="AJ38" s="21">
        <f t="shared" si="14"/>
        <v>1.5824175824175823</v>
      </c>
    </row>
    <row r="39" spans="1:36" ht="18.75">
      <c r="A39" s="43">
        <v>32</v>
      </c>
      <c r="B39" s="23" t="s">
        <v>82</v>
      </c>
      <c r="C39" s="24">
        <v>17</v>
      </c>
      <c r="D39" s="24">
        <v>384</v>
      </c>
      <c r="E39" s="25">
        <v>12.4</v>
      </c>
      <c r="F39" s="26">
        <f t="shared" si="0"/>
        <v>8.1705882352941188</v>
      </c>
      <c r="G39" s="27">
        <f t="shared" si="1"/>
        <v>14.468750000000002</v>
      </c>
      <c r="H39" s="28">
        <v>195</v>
      </c>
      <c r="I39" s="29">
        <f t="shared" si="2"/>
        <v>11.470588235294118</v>
      </c>
      <c r="J39" s="28">
        <f>284+(U39*3)+O39</f>
        <v>377</v>
      </c>
      <c r="K39" s="30">
        <f t="shared" si="3"/>
        <v>0.51724137931034486</v>
      </c>
      <c r="L39" s="24">
        <v>76</v>
      </c>
      <c r="M39" s="24">
        <v>153</v>
      </c>
      <c r="N39" s="31">
        <f t="shared" si="4"/>
        <v>0.49673202614379086</v>
      </c>
      <c r="O39" s="24">
        <v>60</v>
      </c>
      <c r="P39" s="24">
        <v>43</v>
      </c>
      <c r="Q39" s="31">
        <f>43/60</f>
        <v>0.71666666666666667</v>
      </c>
      <c r="R39" s="32">
        <f t="shared" si="5"/>
        <v>0.39215686274509803</v>
      </c>
      <c r="S39" s="33">
        <f t="shared" si="6"/>
        <v>26.4</v>
      </c>
      <c r="T39" s="24">
        <v>0</v>
      </c>
      <c r="U39" s="24">
        <v>11</v>
      </c>
      <c r="V39" s="31">
        <f t="shared" si="7"/>
        <v>0</v>
      </c>
      <c r="W39" s="28">
        <v>65</v>
      </c>
      <c r="X39" s="28">
        <v>36</v>
      </c>
      <c r="Y39" s="34">
        <f t="shared" si="8"/>
        <v>10.520833333333332</v>
      </c>
      <c r="Z39" s="28">
        <f t="shared" si="9"/>
        <v>209.4</v>
      </c>
      <c r="AA39" s="27">
        <f t="shared" si="10"/>
        <v>12.31764705882353</v>
      </c>
      <c r="AB39" s="35">
        <f t="shared" si="11"/>
        <v>0.93123209169054444</v>
      </c>
      <c r="AC39" s="36">
        <f t="shared" si="12"/>
        <v>0.54347826086956519</v>
      </c>
      <c r="AD39" s="37">
        <f t="shared" si="13"/>
        <v>0.49673202614379086</v>
      </c>
      <c r="AE39" s="28">
        <v>35</v>
      </c>
      <c r="AF39" s="28">
        <v>5</v>
      </c>
      <c r="AG39" s="28">
        <v>12</v>
      </c>
      <c r="AH39" s="24">
        <v>16</v>
      </c>
      <c r="AI39" s="24">
        <v>30</v>
      </c>
      <c r="AJ39" s="38">
        <f t="shared" si="14"/>
        <v>0.53333333333333333</v>
      </c>
    </row>
    <row r="40" spans="1:36" ht="18.75">
      <c r="A40" s="42">
        <v>33</v>
      </c>
      <c r="B40" s="41" t="s">
        <v>83</v>
      </c>
      <c r="C40" s="7">
        <v>17</v>
      </c>
      <c r="D40" s="7">
        <v>416</v>
      </c>
      <c r="E40" s="8">
        <v>10.9</v>
      </c>
      <c r="F40" s="9">
        <f t="shared" si="0"/>
        <v>8.8411764705882359</v>
      </c>
      <c r="G40" s="10">
        <f t="shared" si="1"/>
        <v>14.45192307692308</v>
      </c>
      <c r="H40" s="11">
        <v>220</v>
      </c>
      <c r="I40" s="12">
        <f t="shared" si="2"/>
        <v>12.941176470588236</v>
      </c>
      <c r="J40" s="11">
        <f>264+(U40*3)+O40</f>
        <v>422</v>
      </c>
      <c r="K40" s="13">
        <f t="shared" si="3"/>
        <v>0.52132701421800953</v>
      </c>
      <c r="L40" s="7">
        <v>92</v>
      </c>
      <c r="M40" s="7">
        <v>173</v>
      </c>
      <c r="N40" s="14">
        <f t="shared" si="4"/>
        <v>0.53179190751445082</v>
      </c>
      <c r="O40" s="7">
        <v>35</v>
      </c>
      <c r="P40" s="7">
        <v>20</v>
      </c>
      <c r="Q40" s="14">
        <f>20/35</f>
        <v>0.5714285714285714</v>
      </c>
      <c r="R40" s="15">
        <f t="shared" si="5"/>
        <v>0.20231213872832371</v>
      </c>
      <c r="S40" s="16">
        <f t="shared" si="6"/>
        <v>15.4</v>
      </c>
      <c r="T40" s="7">
        <v>16</v>
      </c>
      <c r="U40" s="7">
        <v>41</v>
      </c>
      <c r="V40" s="14">
        <f t="shared" si="7"/>
        <v>0.3902439024390244</v>
      </c>
      <c r="W40" s="11">
        <v>39</v>
      </c>
      <c r="X40" s="11">
        <v>32</v>
      </c>
      <c r="Y40" s="17">
        <f t="shared" si="8"/>
        <v>6.8269230769230766</v>
      </c>
      <c r="Z40" s="11">
        <f t="shared" si="9"/>
        <v>217.4</v>
      </c>
      <c r="AA40" s="10">
        <f t="shared" si="10"/>
        <v>12.788235294117648</v>
      </c>
      <c r="AB40" s="18">
        <f t="shared" si="11"/>
        <v>1.0119595216191353</v>
      </c>
      <c r="AC40" s="19">
        <f t="shared" si="12"/>
        <v>0.58386411889596601</v>
      </c>
      <c r="AD40" s="20">
        <f t="shared" si="13"/>
        <v>0.5780346820809249</v>
      </c>
      <c r="AE40" s="11">
        <v>55</v>
      </c>
      <c r="AF40" s="11">
        <v>4</v>
      </c>
      <c r="AG40" s="11">
        <v>13</v>
      </c>
      <c r="AH40" s="7">
        <v>31</v>
      </c>
      <c r="AI40" s="7">
        <v>29</v>
      </c>
      <c r="AJ40" s="21">
        <f t="shared" si="14"/>
        <v>1.0689655172413792</v>
      </c>
    </row>
    <row r="41" spans="1:36" ht="18.75">
      <c r="A41" s="43">
        <v>34</v>
      </c>
      <c r="B41" s="23" t="s">
        <v>84</v>
      </c>
      <c r="C41" s="24">
        <v>12</v>
      </c>
      <c r="D41" s="24">
        <v>384</v>
      </c>
      <c r="E41" s="25">
        <v>18.8</v>
      </c>
      <c r="F41" s="26">
        <f t="shared" si="0"/>
        <v>11.5</v>
      </c>
      <c r="G41" s="27">
        <f t="shared" si="1"/>
        <v>14.375</v>
      </c>
      <c r="H41" s="28">
        <v>143</v>
      </c>
      <c r="I41" s="29">
        <f t="shared" si="2"/>
        <v>11.916666666666666</v>
      </c>
      <c r="J41" s="28">
        <f>208+(U41*3)+O41</f>
        <v>261</v>
      </c>
      <c r="K41" s="30">
        <f t="shared" si="3"/>
        <v>0.54789272030651337</v>
      </c>
      <c r="L41" s="24">
        <v>58</v>
      </c>
      <c r="M41" s="24">
        <v>105</v>
      </c>
      <c r="N41" s="31">
        <f t="shared" si="4"/>
        <v>0.55238095238095242</v>
      </c>
      <c r="O41" s="24">
        <v>50</v>
      </c>
      <c r="P41" s="24">
        <v>26</v>
      </c>
      <c r="Q41" s="31">
        <f>26/50</f>
        <v>0.52</v>
      </c>
      <c r="R41" s="32">
        <f t="shared" si="5"/>
        <v>0.47619047619047616</v>
      </c>
      <c r="S41" s="33">
        <f t="shared" si="6"/>
        <v>22</v>
      </c>
      <c r="T41" s="24">
        <v>1</v>
      </c>
      <c r="U41" s="24">
        <v>1</v>
      </c>
      <c r="V41" s="45">
        <v>1</v>
      </c>
      <c r="W41" s="28">
        <v>86</v>
      </c>
      <c r="X41" s="28">
        <v>56</v>
      </c>
      <c r="Y41" s="34">
        <f t="shared" si="8"/>
        <v>14.791666666666668</v>
      </c>
      <c r="Z41" s="28">
        <f t="shared" si="9"/>
        <v>148</v>
      </c>
      <c r="AA41" s="27">
        <f t="shared" si="10"/>
        <v>12.333333333333334</v>
      </c>
      <c r="AB41" s="35">
        <f t="shared" si="11"/>
        <v>0.96621621621621623</v>
      </c>
      <c r="AC41" s="36">
        <f t="shared" si="12"/>
        <v>0.56299212598425197</v>
      </c>
      <c r="AD41" s="37">
        <f t="shared" si="13"/>
        <v>0.55714285714285716</v>
      </c>
      <c r="AE41" s="28">
        <v>25</v>
      </c>
      <c r="AF41" s="28">
        <v>2</v>
      </c>
      <c r="AG41" s="28">
        <v>9</v>
      </c>
      <c r="AH41" s="24">
        <v>15</v>
      </c>
      <c r="AI41" s="24">
        <v>21</v>
      </c>
      <c r="AJ41" s="38">
        <f t="shared" si="14"/>
        <v>0.7142857142857143</v>
      </c>
    </row>
    <row r="42" spans="1:36" ht="18.75">
      <c r="A42" s="42">
        <v>35</v>
      </c>
      <c r="B42" s="41" t="s">
        <v>85</v>
      </c>
      <c r="C42" s="7">
        <v>20</v>
      </c>
      <c r="D42" s="7">
        <v>547</v>
      </c>
      <c r="E42" s="8">
        <v>14.3</v>
      </c>
      <c r="F42" s="9">
        <f t="shared" ref="F42:F43" si="15">(H42+(0.4*L42)-(0.7*M42)-(0.4*(O42-P42))+(0.7*X42)+(0.3*W42)+AG42+(0.7*AH42)+(0.7*AF42)-(0.4*AE42)-AI42)/C42</f>
        <v>9.7750000000000021</v>
      </c>
      <c r="G42" s="10">
        <f t="shared" ref="G42:G43" si="16">F42*40/(D42/C42)</f>
        <v>14.296160877513715</v>
      </c>
      <c r="H42" s="11">
        <v>256</v>
      </c>
      <c r="I42" s="12">
        <f t="shared" ref="I42:I43" si="17">H42/C42</f>
        <v>12.8</v>
      </c>
      <c r="J42" s="11">
        <f>278+(U42*3)+O42</f>
        <v>487</v>
      </c>
      <c r="K42" s="13">
        <f t="shared" ref="K42:K43" si="18">H42/J42</f>
        <v>0.52566735112936347</v>
      </c>
      <c r="L42" s="7">
        <v>87</v>
      </c>
      <c r="M42" s="7">
        <v>175</v>
      </c>
      <c r="N42" s="14">
        <f t="shared" ref="N42:N43" si="19">L42/M42</f>
        <v>0.49714285714285716</v>
      </c>
      <c r="O42" s="7">
        <v>101</v>
      </c>
      <c r="P42" s="7">
        <v>73</v>
      </c>
      <c r="Q42" s="14">
        <f>73/101</f>
        <v>0.72277227722772275</v>
      </c>
      <c r="R42" s="15">
        <f t="shared" ref="R42:R43" si="20">O42/M42</f>
        <v>0.57714285714285718</v>
      </c>
      <c r="S42" s="16">
        <f t="shared" ref="S42:S43" si="21">O42*0.44</f>
        <v>44.44</v>
      </c>
      <c r="T42" s="7">
        <v>9</v>
      </c>
      <c r="U42" s="7">
        <v>36</v>
      </c>
      <c r="V42" s="14">
        <f t="shared" ref="V42:V43" si="22">T42/U42</f>
        <v>0.25</v>
      </c>
      <c r="W42" s="11">
        <v>61</v>
      </c>
      <c r="X42" s="11">
        <v>52</v>
      </c>
      <c r="Y42" s="17">
        <f t="shared" ref="Y42:Y43" si="23">((W42+X42)/D42)*40</f>
        <v>8.2632541133455213</v>
      </c>
      <c r="Z42" s="11">
        <f t="shared" ref="Z42:Z43" si="24">M42+S42+AI42</f>
        <v>263.44</v>
      </c>
      <c r="AA42" s="10">
        <f t="shared" ref="AA42:AA43" si="25">Z42/C42</f>
        <v>13.172000000000001</v>
      </c>
      <c r="AB42" s="18">
        <f t="shared" ref="AB42:AB43" si="26">H42/Z42</f>
        <v>0.97175827512906165</v>
      </c>
      <c r="AC42" s="19">
        <f t="shared" ref="AC42:AC43" si="27">H42/(2*(S42+M42))</f>
        <v>0.58330295297119938</v>
      </c>
      <c r="AD42" s="20">
        <f t="shared" ref="AD42:AD43" si="28">((T42*0.5)+L42)/M42</f>
        <v>0.52285714285714291</v>
      </c>
      <c r="AE42" s="11">
        <v>64</v>
      </c>
      <c r="AF42" s="11">
        <v>2</v>
      </c>
      <c r="AG42" s="11">
        <v>26</v>
      </c>
      <c r="AH42" s="7">
        <v>37</v>
      </c>
      <c r="AI42" s="7">
        <v>44</v>
      </c>
      <c r="AJ42" s="21">
        <f t="shared" ref="AJ42:AJ43" si="29">AH42/AI42</f>
        <v>0.84090909090909094</v>
      </c>
    </row>
    <row r="43" spans="1:36" ht="18.75">
      <c r="A43" s="43">
        <v>36</v>
      </c>
      <c r="B43" s="23" t="s">
        <v>86</v>
      </c>
      <c r="C43" s="24">
        <v>37</v>
      </c>
      <c r="D43" s="24">
        <v>1098</v>
      </c>
      <c r="E43" s="25">
        <v>16.899999999999999</v>
      </c>
      <c r="F43" s="26">
        <f t="shared" si="15"/>
        <v>10.55675675675676</v>
      </c>
      <c r="G43" s="27">
        <f t="shared" si="16"/>
        <v>14.229508196721316</v>
      </c>
      <c r="H43" s="28">
        <v>485</v>
      </c>
      <c r="I43" s="29">
        <f t="shared" si="17"/>
        <v>13.108108108108109</v>
      </c>
      <c r="J43" s="28">
        <f>416+(U43*3)+O43</f>
        <v>994</v>
      </c>
      <c r="K43" s="30">
        <f t="shared" si="18"/>
        <v>0.4879275653923541</v>
      </c>
      <c r="L43" s="24">
        <v>168</v>
      </c>
      <c r="M43" s="24">
        <v>347</v>
      </c>
      <c r="N43" s="31">
        <f t="shared" si="19"/>
        <v>0.48414985590778098</v>
      </c>
      <c r="O43" s="24">
        <v>161</v>
      </c>
      <c r="P43" s="24">
        <v>126</v>
      </c>
      <c r="Q43" s="31">
        <f>126/161</f>
        <v>0.78260869565217395</v>
      </c>
      <c r="R43" s="32">
        <f t="shared" si="20"/>
        <v>0.46397694524495675</v>
      </c>
      <c r="S43" s="33">
        <f t="shared" si="21"/>
        <v>70.84</v>
      </c>
      <c r="T43" s="24">
        <v>37</v>
      </c>
      <c r="U43" s="24">
        <v>139</v>
      </c>
      <c r="V43" s="31">
        <f t="shared" si="22"/>
        <v>0.26618705035971224</v>
      </c>
      <c r="W43" s="28">
        <v>139</v>
      </c>
      <c r="X43" s="28">
        <v>49</v>
      </c>
      <c r="Y43" s="34">
        <f t="shared" si="23"/>
        <v>6.8488160291438982</v>
      </c>
      <c r="Z43" s="28">
        <f t="shared" si="24"/>
        <v>502.84000000000003</v>
      </c>
      <c r="AA43" s="27">
        <f t="shared" si="25"/>
        <v>13.59027027027027</v>
      </c>
      <c r="AB43" s="35">
        <f t="shared" si="26"/>
        <v>0.96452151777901518</v>
      </c>
      <c r="AC43" s="36">
        <f t="shared" si="27"/>
        <v>0.58036569021635076</v>
      </c>
      <c r="AD43" s="37">
        <f t="shared" si="28"/>
        <v>0.53746397694524495</v>
      </c>
      <c r="AE43" s="28">
        <v>111</v>
      </c>
      <c r="AF43" s="28">
        <v>27</v>
      </c>
      <c r="AG43" s="28">
        <v>36</v>
      </c>
      <c r="AH43" s="24">
        <v>134</v>
      </c>
      <c r="AI43" s="24">
        <v>85</v>
      </c>
      <c r="AJ43" s="38">
        <f t="shared" si="29"/>
        <v>1.5764705882352941</v>
      </c>
    </row>
    <row r="44" spans="1:36" ht="18.75">
      <c r="A44" s="42">
        <v>37</v>
      </c>
      <c r="B44" s="41" t="s">
        <v>87</v>
      </c>
      <c r="C44" s="7">
        <v>15</v>
      </c>
      <c r="D44" s="7">
        <v>359</v>
      </c>
      <c r="E44" s="8">
        <v>11.5</v>
      </c>
      <c r="F44" s="9">
        <f t="shared" ref="F44:F54" si="30">(H44+(0.4*L44)-(0.7*M44)-(0.4*(O44-P44))+(0.7*X44)+(0.3*W44)+AG44+(0.7*AH44)+(0.7*AF44)-(0.4*AE44)-AI44)/C44</f>
        <v>8.5066666666666659</v>
      </c>
      <c r="G44" s="10">
        <f t="shared" ref="G44:G54" si="31">F44*40/(D44/C44)</f>
        <v>14.217270194986071</v>
      </c>
      <c r="H44" s="11">
        <v>211</v>
      </c>
      <c r="I44" s="12">
        <f t="shared" ref="I44:I54" si="32">H44/C44</f>
        <v>14.066666666666666</v>
      </c>
      <c r="J44" s="11">
        <f>180+(U44*3)+O44</f>
        <v>495</v>
      </c>
      <c r="K44" s="13">
        <f t="shared" ref="K44:K54" si="33">H44/J44</f>
        <v>0.42626262626262629</v>
      </c>
      <c r="L44" s="7">
        <v>71</v>
      </c>
      <c r="M44" s="7">
        <v>177</v>
      </c>
      <c r="N44" s="14">
        <f t="shared" ref="N44:N54" si="34">L44/M44</f>
        <v>0.40112994350282488</v>
      </c>
      <c r="O44" s="7">
        <v>54</v>
      </c>
      <c r="P44" s="7">
        <v>42</v>
      </c>
      <c r="Q44" s="14">
        <f>42/54</f>
        <v>0.77777777777777779</v>
      </c>
      <c r="R44" s="15">
        <f t="shared" ref="R44:R54" si="35">O44/M44</f>
        <v>0.30508474576271188</v>
      </c>
      <c r="S44" s="16">
        <f t="shared" ref="S44:S54" si="36">O44*0.44</f>
        <v>23.76</v>
      </c>
      <c r="T44" s="7">
        <v>27</v>
      </c>
      <c r="U44" s="7">
        <v>87</v>
      </c>
      <c r="V44" s="14">
        <f t="shared" ref="V44:V47" si="37">T44/U44</f>
        <v>0.31034482758620691</v>
      </c>
      <c r="W44" s="11">
        <v>48</v>
      </c>
      <c r="X44" s="11">
        <v>14</v>
      </c>
      <c r="Y44" s="17">
        <f t="shared" ref="Y44:Y54" si="38">((W44+X44)/D44)*40</f>
        <v>6.9080779944289699</v>
      </c>
      <c r="Z44" s="11">
        <f t="shared" ref="Z44:Z54" si="39">M44+S44+AI44</f>
        <v>212.76</v>
      </c>
      <c r="AA44" s="10">
        <f t="shared" ref="AA44:AA54" si="40">Z44/C44</f>
        <v>14.183999999999999</v>
      </c>
      <c r="AB44" s="18">
        <f t="shared" ref="AB44:AB54" si="41">H44/Z44</f>
        <v>0.99172776837751464</v>
      </c>
      <c r="AC44" s="19">
        <f t="shared" ref="AC44:AC54" si="42">H44/(2*(S44+M44))</f>
        <v>0.52550308826459458</v>
      </c>
      <c r="AD44" s="20">
        <f t="shared" ref="AD44:AD54" si="43">((T44*0.5)+L44)/M44</f>
        <v>0.47740112994350281</v>
      </c>
      <c r="AE44" s="11">
        <v>39</v>
      </c>
      <c r="AF44" s="11">
        <v>1</v>
      </c>
      <c r="AG44" s="11">
        <v>7</v>
      </c>
      <c r="AH44" s="7">
        <v>18</v>
      </c>
      <c r="AI44" s="7">
        <v>12</v>
      </c>
      <c r="AJ44" s="21">
        <f t="shared" ref="AJ44:AJ54" si="44">AH44/AI44</f>
        <v>1.5</v>
      </c>
    </row>
    <row r="45" spans="1:36" ht="18.75">
      <c r="A45" s="43">
        <v>38</v>
      </c>
      <c r="B45" s="23" t="s">
        <v>88</v>
      </c>
      <c r="C45" s="24">
        <v>13</v>
      </c>
      <c r="D45" s="24">
        <v>380</v>
      </c>
      <c r="E45" s="25">
        <v>16</v>
      </c>
      <c r="F45" s="26">
        <f t="shared" si="30"/>
        <v>10.276923076923076</v>
      </c>
      <c r="G45" s="27">
        <f t="shared" si="31"/>
        <v>14.063157894736841</v>
      </c>
      <c r="H45" s="28">
        <v>159</v>
      </c>
      <c r="I45" s="29">
        <f t="shared" si="32"/>
        <v>12.23076923076923</v>
      </c>
      <c r="J45" s="28">
        <f>208+(U45*3)+O45</f>
        <v>310</v>
      </c>
      <c r="K45" s="30">
        <f t="shared" si="33"/>
        <v>0.51290322580645165</v>
      </c>
      <c r="L45" s="24">
        <v>69</v>
      </c>
      <c r="M45" s="24">
        <v>132</v>
      </c>
      <c r="N45" s="31">
        <f t="shared" si="34"/>
        <v>0.52272727272727271</v>
      </c>
      <c r="O45" s="24">
        <v>18</v>
      </c>
      <c r="P45" s="24">
        <v>12</v>
      </c>
      <c r="Q45" s="31">
        <f>12/18</f>
        <v>0.66666666666666663</v>
      </c>
      <c r="R45" s="32">
        <f t="shared" si="35"/>
        <v>0.13636363636363635</v>
      </c>
      <c r="S45" s="33">
        <f t="shared" si="36"/>
        <v>7.92</v>
      </c>
      <c r="T45" s="24">
        <v>9</v>
      </c>
      <c r="U45" s="24">
        <v>28</v>
      </c>
      <c r="V45" s="31">
        <f t="shared" si="37"/>
        <v>0.32142857142857145</v>
      </c>
      <c r="W45" s="28">
        <v>73</v>
      </c>
      <c r="X45" s="28">
        <v>38</v>
      </c>
      <c r="Y45" s="34">
        <f t="shared" si="38"/>
        <v>11.684210526315791</v>
      </c>
      <c r="Z45" s="28">
        <f t="shared" si="39"/>
        <v>159.91999999999999</v>
      </c>
      <c r="AA45" s="27">
        <f t="shared" si="40"/>
        <v>12.30153846153846</v>
      </c>
      <c r="AB45" s="35">
        <f t="shared" si="41"/>
        <v>0.99424712356178102</v>
      </c>
      <c r="AC45" s="36">
        <f t="shared" si="42"/>
        <v>0.56818181818181823</v>
      </c>
      <c r="AD45" s="37">
        <f t="shared" si="43"/>
        <v>0.55681818181818177</v>
      </c>
      <c r="AE45" s="28">
        <v>34</v>
      </c>
      <c r="AF45" s="28">
        <v>18</v>
      </c>
      <c r="AG45" s="28">
        <v>8</v>
      </c>
      <c r="AH45" s="24">
        <v>9</v>
      </c>
      <c r="AI45" s="24">
        <v>20</v>
      </c>
      <c r="AJ45" s="38">
        <f t="shared" si="44"/>
        <v>0.45</v>
      </c>
    </row>
    <row r="46" spans="1:36" ht="18.75">
      <c r="A46" s="42">
        <v>39</v>
      </c>
      <c r="B46" s="41" t="s">
        <v>89</v>
      </c>
      <c r="C46" s="7">
        <v>26</v>
      </c>
      <c r="D46" s="7">
        <v>600</v>
      </c>
      <c r="E46" s="8">
        <v>12.3</v>
      </c>
      <c r="F46" s="9">
        <f t="shared" si="30"/>
        <v>8.0846153846153825</v>
      </c>
      <c r="G46" s="10">
        <f t="shared" si="31"/>
        <v>14.01333333333333</v>
      </c>
      <c r="H46" s="11">
        <v>261</v>
      </c>
      <c r="I46" s="12">
        <f t="shared" si="32"/>
        <v>10.038461538461538</v>
      </c>
      <c r="J46" s="11">
        <f>178+(U46*3)+O46</f>
        <v>508</v>
      </c>
      <c r="K46" s="13">
        <f t="shared" si="33"/>
        <v>0.51377952755905509</v>
      </c>
      <c r="L46" s="7">
        <v>93</v>
      </c>
      <c r="M46" s="7">
        <v>174</v>
      </c>
      <c r="N46" s="14">
        <f t="shared" si="34"/>
        <v>0.53448275862068961</v>
      </c>
      <c r="O46" s="7">
        <v>75</v>
      </c>
      <c r="P46" s="7">
        <v>42</v>
      </c>
      <c r="Q46" s="14">
        <f>42/75</f>
        <v>0.56000000000000005</v>
      </c>
      <c r="R46" s="15">
        <f t="shared" si="35"/>
        <v>0.43103448275862066</v>
      </c>
      <c r="S46" s="16">
        <f t="shared" si="36"/>
        <v>33</v>
      </c>
      <c r="T46" s="7">
        <v>33</v>
      </c>
      <c r="U46" s="7">
        <v>85</v>
      </c>
      <c r="V46" s="14">
        <f t="shared" si="37"/>
        <v>0.38823529411764707</v>
      </c>
      <c r="W46" s="11">
        <v>107</v>
      </c>
      <c r="X46" s="11">
        <v>46</v>
      </c>
      <c r="Y46" s="17">
        <f t="shared" si="38"/>
        <v>10.199999999999999</v>
      </c>
      <c r="Z46" s="11">
        <f t="shared" si="39"/>
        <v>243</v>
      </c>
      <c r="AA46" s="10">
        <f t="shared" si="40"/>
        <v>9.3461538461538467</v>
      </c>
      <c r="AB46" s="18">
        <f t="shared" si="41"/>
        <v>1.0740740740740742</v>
      </c>
      <c r="AC46" s="19">
        <f t="shared" si="42"/>
        <v>0.63043478260869568</v>
      </c>
      <c r="AD46" s="20">
        <f t="shared" si="43"/>
        <v>0.62931034482758619</v>
      </c>
      <c r="AE46" s="11">
        <v>61</v>
      </c>
      <c r="AF46" s="11">
        <v>2</v>
      </c>
      <c r="AG46" s="11">
        <v>20</v>
      </c>
      <c r="AH46" s="7">
        <v>31</v>
      </c>
      <c r="AI46" s="7">
        <v>36</v>
      </c>
      <c r="AJ46" s="21">
        <f t="shared" si="44"/>
        <v>0.86111111111111116</v>
      </c>
    </row>
    <row r="47" spans="1:36" ht="18.75">
      <c r="A47" s="43">
        <v>40</v>
      </c>
      <c r="B47" s="23" t="s">
        <v>90</v>
      </c>
      <c r="C47" s="24">
        <v>16</v>
      </c>
      <c r="D47" s="24">
        <v>513</v>
      </c>
      <c r="E47" s="25">
        <v>14.3</v>
      </c>
      <c r="F47" s="26">
        <f t="shared" si="30"/>
        <v>11.231249999999999</v>
      </c>
      <c r="G47" s="27">
        <f t="shared" si="31"/>
        <v>14.011695906432749</v>
      </c>
      <c r="H47" s="28">
        <v>268</v>
      </c>
      <c r="I47" s="29">
        <f t="shared" si="32"/>
        <v>16.75</v>
      </c>
      <c r="J47" s="28">
        <f>78+(U47*3)+O47</f>
        <v>647</v>
      </c>
      <c r="K47" s="30">
        <f t="shared" si="33"/>
        <v>0.41421947449768159</v>
      </c>
      <c r="L47" s="24">
        <v>78</v>
      </c>
      <c r="M47" s="24">
        <v>208</v>
      </c>
      <c r="N47" s="31">
        <f t="shared" si="34"/>
        <v>0.375</v>
      </c>
      <c r="O47" s="24">
        <v>62</v>
      </c>
      <c r="P47" s="24">
        <v>51</v>
      </c>
      <c r="Q47" s="31">
        <f>51/62</f>
        <v>0.82258064516129037</v>
      </c>
      <c r="R47" s="32">
        <f t="shared" si="35"/>
        <v>0.29807692307692307</v>
      </c>
      <c r="S47" s="33">
        <f t="shared" si="36"/>
        <v>27.28</v>
      </c>
      <c r="T47" s="24">
        <v>61</v>
      </c>
      <c r="U47" s="24">
        <v>169</v>
      </c>
      <c r="V47" s="31">
        <f t="shared" si="37"/>
        <v>0.36094674556213019</v>
      </c>
      <c r="W47" s="28">
        <v>47</v>
      </c>
      <c r="X47" s="28">
        <v>13</v>
      </c>
      <c r="Y47" s="34">
        <f t="shared" si="38"/>
        <v>4.6783625730994149</v>
      </c>
      <c r="Z47" s="28">
        <f t="shared" si="39"/>
        <v>260.27999999999997</v>
      </c>
      <c r="AA47" s="27">
        <f t="shared" si="40"/>
        <v>16.267499999999998</v>
      </c>
      <c r="AB47" s="35">
        <f t="shared" si="41"/>
        <v>1.029660365759951</v>
      </c>
      <c r="AC47" s="36">
        <f t="shared" si="42"/>
        <v>0.56953417205032297</v>
      </c>
      <c r="AD47" s="37">
        <f t="shared" si="43"/>
        <v>0.52163461538461542</v>
      </c>
      <c r="AE47" s="28">
        <v>23</v>
      </c>
      <c r="AF47" s="28">
        <v>1</v>
      </c>
      <c r="AG47" s="28">
        <v>17</v>
      </c>
      <c r="AH47" s="24">
        <v>34</v>
      </c>
      <c r="AI47" s="24">
        <v>25</v>
      </c>
      <c r="AJ47" s="38">
        <f t="shared" si="44"/>
        <v>1.36</v>
      </c>
    </row>
    <row r="48" spans="1:36" ht="18.75">
      <c r="A48" s="42">
        <v>41</v>
      </c>
      <c r="B48" s="41" t="s">
        <v>91</v>
      </c>
      <c r="C48" s="7">
        <v>29</v>
      </c>
      <c r="D48" s="7">
        <v>456</v>
      </c>
      <c r="E48" s="8">
        <v>8.1</v>
      </c>
      <c r="F48" s="9">
        <f t="shared" si="30"/>
        <v>5.4379310344827578</v>
      </c>
      <c r="G48" s="10">
        <f t="shared" si="31"/>
        <v>13.833333333333332</v>
      </c>
      <c r="H48" s="11">
        <v>185</v>
      </c>
      <c r="I48" s="12">
        <f t="shared" si="32"/>
        <v>6.3793103448275863</v>
      </c>
      <c r="J48" s="11">
        <f>254+(U48*3)+O48</f>
        <v>311</v>
      </c>
      <c r="K48" s="13">
        <f t="shared" si="33"/>
        <v>0.59485530546623799</v>
      </c>
      <c r="L48" s="7">
        <v>76</v>
      </c>
      <c r="M48" s="7">
        <v>127</v>
      </c>
      <c r="N48" s="14">
        <f t="shared" si="34"/>
        <v>0.59842519685039375</v>
      </c>
      <c r="O48" s="7">
        <v>57</v>
      </c>
      <c r="P48" s="7">
        <v>33</v>
      </c>
      <c r="Q48" s="14">
        <f>33/57</f>
        <v>0.57894736842105265</v>
      </c>
      <c r="R48" s="15">
        <f t="shared" si="35"/>
        <v>0.44881889763779526</v>
      </c>
      <c r="S48" s="16">
        <f t="shared" si="36"/>
        <v>25.080000000000002</v>
      </c>
      <c r="T48" s="7">
        <v>0</v>
      </c>
      <c r="U48" s="7">
        <v>0</v>
      </c>
      <c r="V48" s="14">
        <v>0</v>
      </c>
      <c r="W48" s="11">
        <v>95</v>
      </c>
      <c r="X48" s="11">
        <v>60</v>
      </c>
      <c r="Y48" s="17">
        <f t="shared" si="38"/>
        <v>13.596491228070175</v>
      </c>
      <c r="Z48" s="11">
        <f t="shared" si="39"/>
        <v>184.08</v>
      </c>
      <c r="AA48" s="10">
        <f t="shared" si="40"/>
        <v>6.3475862068965521</v>
      </c>
      <c r="AB48" s="18">
        <f t="shared" si="41"/>
        <v>1.0049978270317252</v>
      </c>
      <c r="AC48" s="19">
        <f t="shared" si="42"/>
        <v>0.60823250920568117</v>
      </c>
      <c r="AD48" s="20">
        <f t="shared" si="43"/>
        <v>0.59842519685039375</v>
      </c>
      <c r="AE48" s="11">
        <v>73</v>
      </c>
      <c r="AF48" s="11">
        <v>15</v>
      </c>
      <c r="AG48" s="11">
        <v>14</v>
      </c>
      <c r="AH48" s="7">
        <v>10</v>
      </c>
      <c r="AI48" s="7">
        <v>32</v>
      </c>
      <c r="AJ48" s="21">
        <f t="shared" si="44"/>
        <v>0.3125</v>
      </c>
    </row>
    <row r="49" spans="1:36" ht="18.75">
      <c r="A49" s="43">
        <v>42</v>
      </c>
      <c r="B49" s="46" t="s">
        <v>92</v>
      </c>
      <c r="C49" s="24">
        <v>33</v>
      </c>
      <c r="D49" s="24">
        <v>895</v>
      </c>
      <c r="E49" s="25">
        <v>13.7</v>
      </c>
      <c r="F49" s="26">
        <f t="shared" si="30"/>
        <v>9.2878787878787872</v>
      </c>
      <c r="G49" s="27">
        <f t="shared" si="31"/>
        <v>13.698324022346368</v>
      </c>
      <c r="H49" s="28">
        <v>386</v>
      </c>
      <c r="I49" s="29">
        <f t="shared" si="32"/>
        <v>11.696969696969697</v>
      </c>
      <c r="J49" s="28">
        <v>901</v>
      </c>
      <c r="K49" s="30">
        <f t="shared" si="33"/>
        <v>0.42841287458379579</v>
      </c>
      <c r="L49" s="24">
        <v>124</v>
      </c>
      <c r="M49" s="24">
        <v>305</v>
      </c>
      <c r="N49" s="31">
        <f t="shared" si="34"/>
        <v>0.40655737704918032</v>
      </c>
      <c r="O49" s="24">
        <v>148</v>
      </c>
      <c r="P49" s="24">
        <v>106</v>
      </c>
      <c r="Q49" s="31">
        <f>106/148</f>
        <v>0.71621621621621623</v>
      </c>
      <c r="R49" s="32">
        <f t="shared" si="35"/>
        <v>0.48524590163934428</v>
      </c>
      <c r="S49" s="33">
        <f t="shared" si="36"/>
        <v>65.12</v>
      </c>
      <c r="T49" s="24">
        <v>32</v>
      </c>
      <c r="U49" s="24">
        <v>123</v>
      </c>
      <c r="V49" s="31">
        <f t="shared" ref="V49:V53" si="45">T49/U49</f>
        <v>0.26016260162601629</v>
      </c>
      <c r="W49" s="28">
        <v>101</v>
      </c>
      <c r="X49" s="28">
        <v>29</v>
      </c>
      <c r="Y49" s="34">
        <f t="shared" si="38"/>
        <v>5.8100558659217878</v>
      </c>
      <c r="Z49" s="28">
        <f t="shared" si="39"/>
        <v>468.12</v>
      </c>
      <c r="AA49" s="27">
        <f t="shared" si="40"/>
        <v>14.185454545454546</v>
      </c>
      <c r="AB49" s="35">
        <f t="shared" si="41"/>
        <v>0.82457489532598482</v>
      </c>
      <c r="AC49" s="36">
        <f t="shared" si="42"/>
        <v>0.52145250189127845</v>
      </c>
      <c r="AD49" s="37">
        <f t="shared" si="43"/>
        <v>0.45901639344262296</v>
      </c>
      <c r="AE49" s="28">
        <v>84</v>
      </c>
      <c r="AF49" s="28">
        <v>6</v>
      </c>
      <c r="AG49" s="28">
        <v>59</v>
      </c>
      <c r="AH49" s="24">
        <v>170</v>
      </c>
      <c r="AI49" s="24">
        <v>98</v>
      </c>
      <c r="AJ49" s="38">
        <f t="shared" si="44"/>
        <v>1.7346938775510203</v>
      </c>
    </row>
    <row r="50" spans="1:36" ht="18.75">
      <c r="A50" s="42">
        <v>43</v>
      </c>
      <c r="B50" s="41" t="s">
        <v>93</v>
      </c>
      <c r="C50" s="7">
        <v>15</v>
      </c>
      <c r="D50" s="7">
        <v>254</v>
      </c>
      <c r="E50" s="8">
        <v>8.3000000000000007</v>
      </c>
      <c r="F50" s="9">
        <f t="shared" si="30"/>
        <v>5.7933333333333339</v>
      </c>
      <c r="G50" s="10">
        <f t="shared" si="31"/>
        <v>13.685039370078741</v>
      </c>
      <c r="H50" s="11">
        <v>115</v>
      </c>
      <c r="I50" s="12">
        <f t="shared" si="32"/>
        <v>7.666666666666667</v>
      </c>
      <c r="J50" s="11">
        <f>160+(U50*3)+O50</f>
        <v>225</v>
      </c>
      <c r="K50" s="13">
        <f t="shared" si="33"/>
        <v>0.51111111111111107</v>
      </c>
      <c r="L50" s="7">
        <v>47</v>
      </c>
      <c r="M50" s="7">
        <v>89</v>
      </c>
      <c r="N50" s="14">
        <f t="shared" si="34"/>
        <v>0.5280898876404494</v>
      </c>
      <c r="O50" s="7">
        <v>38</v>
      </c>
      <c r="P50" s="7">
        <v>21</v>
      </c>
      <c r="Q50" s="14">
        <f>21/38</f>
        <v>0.55263157894736847</v>
      </c>
      <c r="R50" s="15">
        <f t="shared" si="35"/>
        <v>0.42696629213483145</v>
      </c>
      <c r="S50" s="16">
        <f t="shared" si="36"/>
        <v>16.72</v>
      </c>
      <c r="T50" s="7">
        <v>0</v>
      </c>
      <c r="U50" s="7">
        <v>9</v>
      </c>
      <c r="V50" s="14">
        <f t="shared" si="45"/>
        <v>0</v>
      </c>
      <c r="W50" s="11">
        <v>41</v>
      </c>
      <c r="X50" s="11">
        <v>19</v>
      </c>
      <c r="Y50" s="17">
        <f t="shared" si="38"/>
        <v>9.4488188976377945</v>
      </c>
      <c r="Z50" s="11">
        <f t="shared" si="39"/>
        <v>127.72</v>
      </c>
      <c r="AA50" s="10">
        <f t="shared" si="40"/>
        <v>8.5146666666666668</v>
      </c>
      <c r="AB50" s="18">
        <f t="shared" si="41"/>
        <v>0.90040714062010652</v>
      </c>
      <c r="AC50" s="19">
        <f t="shared" si="42"/>
        <v>0.54388951948543318</v>
      </c>
      <c r="AD50" s="20">
        <f t="shared" si="43"/>
        <v>0.5280898876404494</v>
      </c>
      <c r="AE50" s="11">
        <v>30</v>
      </c>
      <c r="AF50" s="11">
        <v>8</v>
      </c>
      <c r="AG50" s="11">
        <v>18</v>
      </c>
      <c r="AH50" s="7">
        <v>10</v>
      </c>
      <c r="AI50" s="7">
        <v>22</v>
      </c>
      <c r="AJ50" s="21">
        <f t="shared" si="44"/>
        <v>0.45454545454545453</v>
      </c>
    </row>
    <row r="51" spans="1:36" ht="18.75">
      <c r="A51" s="43">
        <v>44</v>
      </c>
      <c r="B51" s="23" t="s">
        <v>94</v>
      </c>
      <c r="C51" s="24">
        <v>17</v>
      </c>
      <c r="D51" s="24">
        <v>476</v>
      </c>
      <c r="E51" s="25">
        <v>14.5</v>
      </c>
      <c r="F51" s="26">
        <f t="shared" si="30"/>
        <v>9.3764705882352946</v>
      </c>
      <c r="G51" s="27">
        <f t="shared" si="31"/>
        <v>13.394957983193278</v>
      </c>
      <c r="H51" s="28">
        <v>187</v>
      </c>
      <c r="I51" s="29">
        <f t="shared" si="32"/>
        <v>11</v>
      </c>
      <c r="J51" s="28">
        <f>166+(U51*3)+O51</f>
        <v>308</v>
      </c>
      <c r="K51" s="30">
        <f t="shared" si="33"/>
        <v>0.6071428571428571</v>
      </c>
      <c r="L51" s="24">
        <v>66</v>
      </c>
      <c r="M51" s="24">
        <v>110</v>
      </c>
      <c r="N51" s="31">
        <f t="shared" si="34"/>
        <v>0.6</v>
      </c>
      <c r="O51" s="24">
        <v>61</v>
      </c>
      <c r="P51" s="24">
        <v>46</v>
      </c>
      <c r="Q51" s="31">
        <f>46/61</f>
        <v>0.75409836065573765</v>
      </c>
      <c r="R51" s="32">
        <f t="shared" si="35"/>
        <v>0.55454545454545456</v>
      </c>
      <c r="S51" s="33">
        <f t="shared" si="36"/>
        <v>26.84</v>
      </c>
      <c r="T51" s="24">
        <v>9</v>
      </c>
      <c r="U51" s="24">
        <v>27</v>
      </c>
      <c r="V51" s="31">
        <f t="shared" si="45"/>
        <v>0.33333333333333331</v>
      </c>
      <c r="W51" s="28">
        <v>44</v>
      </c>
      <c r="X51" s="28">
        <v>4</v>
      </c>
      <c r="Y51" s="34">
        <f t="shared" si="38"/>
        <v>4.0336134453781511</v>
      </c>
      <c r="Z51" s="28">
        <f t="shared" si="39"/>
        <v>188.84</v>
      </c>
      <c r="AA51" s="27">
        <f t="shared" si="40"/>
        <v>11.108235294117648</v>
      </c>
      <c r="AB51" s="35">
        <f t="shared" si="41"/>
        <v>0.99025630163101042</v>
      </c>
      <c r="AC51" s="36">
        <f t="shared" si="42"/>
        <v>0.68327974276527326</v>
      </c>
      <c r="AD51" s="37">
        <f t="shared" si="43"/>
        <v>0.64090909090909087</v>
      </c>
      <c r="AE51" s="28">
        <v>34</v>
      </c>
      <c r="AF51" s="28">
        <v>2</v>
      </c>
      <c r="AG51" s="28">
        <v>17</v>
      </c>
      <c r="AH51" s="24">
        <v>86</v>
      </c>
      <c r="AI51" s="24">
        <v>52</v>
      </c>
      <c r="AJ51" s="38">
        <f t="shared" si="44"/>
        <v>1.6538461538461537</v>
      </c>
    </row>
    <row r="52" spans="1:36" ht="18.75">
      <c r="A52" s="42">
        <v>45</v>
      </c>
      <c r="B52" s="41" t="s">
        <v>95</v>
      </c>
      <c r="C52" s="7">
        <v>13</v>
      </c>
      <c r="D52" s="7">
        <v>384</v>
      </c>
      <c r="E52" s="8">
        <v>13.9</v>
      </c>
      <c r="F52" s="9">
        <f t="shared" si="30"/>
        <v>9.838461538461539</v>
      </c>
      <c r="G52" s="10">
        <f t="shared" si="31"/>
        <v>13.322916666666666</v>
      </c>
      <c r="H52" s="11">
        <v>183</v>
      </c>
      <c r="I52" s="12">
        <f t="shared" si="32"/>
        <v>14.076923076923077</v>
      </c>
      <c r="J52" s="11">
        <f>96+(U52*3)+O52</f>
        <v>407</v>
      </c>
      <c r="K52" s="13">
        <f t="shared" si="33"/>
        <v>0.44963144963144963</v>
      </c>
      <c r="L52" s="7">
        <v>60</v>
      </c>
      <c r="M52" s="7">
        <v>137</v>
      </c>
      <c r="N52" s="14">
        <f t="shared" si="34"/>
        <v>0.43795620437956206</v>
      </c>
      <c r="O52" s="7">
        <v>44</v>
      </c>
      <c r="P52" s="7">
        <v>28</v>
      </c>
      <c r="Q52" s="14">
        <f>28/44</f>
        <v>0.63636363636363635</v>
      </c>
      <c r="R52" s="15">
        <f t="shared" si="35"/>
        <v>0.32116788321167883</v>
      </c>
      <c r="S52" s="16">
        <f t="shared" si="36"/>
        <v>19.36</v>
      </c>
      <c r="T52" s="7">
        <v>35</v>
      </c>
      <c r="U52" s="7">
        <v>89</v>
      </c>
      <c r="V52" s="14">
        <f t="shared" si="45"/>
        <v>0.39325842696629215</v>
      </c>
      <c r="W52" s="11">
        <v>39</v>
      </c>
      <c r="X52" s="11">
        <v>11</v>
      </c>
      <c r="Y52" s="17">
        <f t="shared" si="38"/>
        <v>5.2083333333333339</v>
      </c>
      <c r="Z52" s="11">
        <f t="shared" si="39"/>
        <v>177.36</v>
      </c>
      <c r="AA52" s="10">
        <f t="shared" si="40"/>
        <v>13.643076923076924</v>
      </c>
      <c r="AB52" s="18">
        <f t="shared" si="41"/>
        <v>1.0317997293640053</v>
      </c>
      <c r="AC52" s="19">
        <f t="shared" si="42"/>
        <v>0.58518802762854949</v>
      </c>
      <c r="AD52" s="20">
        <f t="shared" si="43"/>
        <v>0.56569343065693434</v>
      </c>
      <c r="AE52" s="11">
        <v>27</v>
      </c>
      <c r="AF52" s="11">
        <v>1</v>
      </c>
      <c r="AG52" s="11">
        <v>16</v>
      </c>
      <c r="AH52" s="7">
        <v>27</v>
      </c>
      <c r="AI52" s="7">
        <v>21</v>
      </c>
      <c r="AJ52" s="21">
        <f t="shared" si="44"/>
        <v>1.2857142857142858</v>
      </c>
    </row>
    <row r="53" spans="1:36" ht="18.75">
      <c r="A53" s="43">
        <v>46</v>
      </c>
      <c r="B53" s="23" t="s">
        <v>96</v>
      </c>
      <c r="C53" s="24">
        <v>18</v>
      </c>
      <c r="D53" s="24">
        <v>489</v>
      </c>
      <c r="E53" s="25">
        <v>14.6</v>
      </c>
      <c r="F53" s="26">
        <f t="shared" si="30"/>
        <v>9.0111111111111128</v>
      </c>
      <c r="G53" s="27">
        <f t="shared" si="31"/>
        <v>13.267893660531699</v>
      </c>
      <c r="H53" s="28">
        <v>195</v>
      </c>
      <c r="I53" s="29">
        <f t="shared" si="32"/>
        <v>10.833333333333334</v>
      </c>
      <c r="J53" s="28">
        <f>164+(U53*3)+O53</f>
        <v>406</v>
      </c>
      <c r="K53" s="30">
        <f t="shared" si="33"/>
        <v>0.48029556650246308</v>
      </c>
      <c r="L53" s="24">
        <v>71</v>
      </c>
      <c r="M53" s="24">
        <v>146</v>
      </c>
      <c r="N53" s="31">
        <f t="shared" si="34"/>
        <v>0.4863013698630137</v>
      </c>
      <c r="O53" s="24">
        <v>50</v>
      </c>
      <c r="P53" s="24">
        <v>28</v>
      </c>
      <c r="Q53" s="31">
        <f>28/50</f>
        <v>0.56000000000000005</v>
      </c>
      <c r="R53" s="32">
        <f t="shared" si="35"/>
        <v>0.34246575342465752</v>
      </c>
      <c r="S53" s="33">
        <f t="shared" si="36"/>
        <v>22</v>
      </c>
      <c r="T53" s="24">
        <v>25</v>
      </c>
      <c r="U53" s="24">
        <v>64</v>
      </c>
      <c r="V53" s="31">
        <f t="shared" si="45"/>
        <v>0.390625</v>
      </c>
      <c r="W53" s="28">
        <v>62</v>
      </c>
      <c r="X53" s="28">
        <v>15</v>
      </c>
      <c r="Y53" s="34">
        <f t="shared" si="38"/>
        <v>6.298568507157464</v>
      </c>
      <c r="Z53" s="28">
        <f t="shared" si="39"/>
        <v>212</v>
      </c>
      <c r="AA53" s="27">
        <f t="shared" si="40"/>
        <v>11.777777777777779</v>
      </c>
      <c r="AB53" s="35">
        <f t="shared" si="41"/>
        <v>0.91981132075471694</v>
      </c>
      <c r="AC53" s="36">
        <f t="shared" si="42"/>
        <v>0.5803571428571429</v>
      </c>
      <c r="AD53" s="37">
        <f t="shared" si="43"/>
        <v>0.57191780821917804</v>
      </c>
      <c r="AE53" s="28">
        <v>30</v>
      </c>
      <c r="AF53" s="28">
        <v>2</v>
      </c>
      <c r="AG53" s="28">
        <v>20</v>
      </c>
      <c r="AH53" s="24">
        <v>79</v>
      </c>
      <c r="AI53" s="24">
        <v>44</v>
      </c>
      <c r="AJ53" s="38">
        <f t="shared" si="44"/>
        <v>1.7954545454545454</v>
      </c>
    </row>
    <row r="54" spans="1:36" ht="18.75">
      <c r="A54" s="42">
        <v>47</v>
      </c>
      <c r="B54" s="41" t="s">
        <v>97</v>
      </c>
      <c r="C54" s="7">
        <v>25</v>
      </c>
      <c r="D54" s="7">
        <v>566</v>
      </c>
      <c r="E54" s="8">
        <v>12.1</v>
      </c>
      <c r="F54" s="9">
        <f t="shared" si="30"/>
        <v>7.4639999999999995</v>
      </c>
      <c r="G54" s="10">
        <f t="shared" si="31"/>
        <v>13.187279151943462</v>
      </c>
      <c r="H54" s="11">
        <v>184</v>
      </c>
      <c r="I54" s="12">
        <f t="shared" si="32"/>
        <v>7.36</v>
      </c>
      <c r="J54" s="11">
        <f>238+(U54*3)+O54</f>
        <v>292</v>
      </c>
      <c r="K54" s="13">
        <f t="shared" si="33"/>
        <v>0.63013698630136983</v>
      </c>
      <c r="L54" s="7">
        <v>79</v>
      </c>
      <c r="M54" s="7">
        <v>120</v>
      </c>
      <c r="N54" s="14">
        <f t="shared" si="34"/>
        <v>0.65833333333333333</v>
      </c>
      <c r="O54" s="7">
        <v>51</v>
      </c>
      <c r="P54" s="7">
        <v>25</v>
      </c>
      <c r="Q54" s="14">
        <f>25/51</f>
        <v>0.49019607843137253</v>
      </c>
      <c r="R54" s="15">
        <f t="shared" si="35"/>
        <v>0.42499999999999999</v>
      </c>
      <c r="S54" s="16">
        <f t="shared" si="36"/>
        <v>22.44</v>
      </c>
      <c r="T54" s="7">
        <v>1</v>
      </c>
      <c r="U54" s="7">
        <v>1</v>
      </c>
      <c r="V54" s="47">
        <f>T54/U54</f>
        <v>1</v>
      </c>
      <c r="W54" s="11">
        <v>128</v>
      </c>
      <c r="X54" s="11">
        <v>63</v>
      </c>
      <c r="Y54" s="17">
        <f t="shared" si="38"/>
        <v>13.498233215547703</v>
      </c>
      <c r="Z54" s="11">
        <f t="shared" si="39"/>
        <v>166.44</v>
      </c>
      <c r="AA54" s="10">
        <f t="shared" si="40"/>
        <v>6.6575999999999995</v>
      </c>
      <c r="AB54" s="18">
        <f t="shared" si="41"/>
        <v>1.1055034847392453</v>
      </c>
      <c r="AC54" s="19">
        <f t="shared" si="42"/>
        <v>0.64588598708228029</v>
      </c>
      <c r="AD54" s="20">
        <f t="shared" si="43"/>
        <v>0.66249999999999998</v>
      </c>
      <c r="AE54" s="11">
        <v>59</v>
      </c>
      <c r="AF54" s="11">
        <v>13</v>
      </c>
      <c r="AG54" s="11">
        <v>13</v>
      </c>
      <c r="AH54" s="7">
        <v>12</v>
      </c>
      <c r="AI54" s="7">
        <v>24</v>
      </c>
      <c r="AJ54" s="21">
        <f t="shared" si="44"/>
        <v>0.5</v>
      </c>
    </row>
    <row r="55" spans="1:36" ht="18.75">
      <c r="A55" s="43">
        <v>48</v>
      </c>
      <c r="B55" s="44" t="s">
        <v>98</v>
      </c>
      <c r="C55" s="24">
        <v>18</v>
      </c>
      <c r="D55" s="24">
        <v>492</v>
      </c>
      <c r="E55" s="25">
        <v>13.1</v>
      </c>
      <c r="F55" s="26">
        <f t="shared" ref="F55:F57" si="46">(H55+(0.4*L55)-(0.7*M55)-(0.4*(O55-P55))+(0.7*X55)+(0.3*W55)+AG55+(0.7*AH55)+(0.7*AF55)-(0.4*AE55)-AI55)/C55</f>
        <v>9.0055555555555564</v>
      </c>
      <c r="G55" s="27">
        <f t="shared" ref="G55:G57" si="47">F55*40/(D55/C55)</f>
        <v>13.178861788617889</v>
      </c>
      <c r="H55" s="28">
        <v>198</v>
      </c>
      <c r="I55" s="29">
        <f t="shared" ref="I55:I57" si="48">H55/C55</f>
        <v>11</v>
      </c>
      <c r="J55" s="28">
        <v>485</v>
      </c>
      <c r="K55" s="30">
        <f t="shared" ref="K55:K57" si="49">H55/J55</f>
        <v>0.40824742268041236</v>
      </c>
      <c r="L55" s="24">
        <v>66</v>
      </c>
      <c r="M55" s="24">
        <v>171</v>
      </c>
      <c r="N55" s="31">
        <f t="shared" ref="N55:N57" si="50">L55/M55</f>
        <v>0.38596491228070173</v>
      </c>
      <c r="O55" s="24">
        <v>66</v>
      </c>
      <c r="P55" s="24">
        <v>49</v>
      </c>
      <c r="Q55" s="31">
        <f>49/66</f>
        <v>0.74242424242424243</v>
      </c>
      <c r="R55" s="32">
        <f t="shared" ref="R55:R57" si="51">O55/M55</f>
        <v>0.38596491228070173</v>
      </c>
      <c r="S55" s="33">
        <f t="shared" ref="S55:S57" si="52">O55*0.44</f>
        <v>29.04</v>
      </c>
      <c r="T55" s="24">
        <v>17</v>
      </c>
      <c r="U55" s="24">
        <v>77</v>
      </c>
      <c r="V55" s="31">
        <f t="shared" ref="V55" si="53">T55/U55</f>
        <v>0.22077922077922077</v>
      </c>
      <c r="W55" s="28">
        <v>54</v>
      </c>
      <c r="X55" s="28">
        <v>13</v>
      </c>
      <c r="Y55" s="34">
        <f t="shared" ref="Y55:Y57" si="54">((W55+X55)/D55)*40</f>
        <v>5.4471544715447155</v>
      </c>
      <c r="Z55" s="28">
        <f t="shared" ref="Z55:Z57" si="55">M55+S55+AI55</f>
        <v>256.03999999999996</v>
      </c>
      <c r="AA55" s="27">
        <f t="shared" ref="AA55:AA57" si="56">Z55/C55</f>
        <v>14.224444444444442</v>
      </c>
      <c r="AB55" s="35">
        <f t="shared" ref="AB55:AB57" si="57">H55/Z55</f>
        <v>0.77331666927042664</v>
      </c>
      <c r="AC55" s="36">
        <f t="shared" ref="AC55:AC57" si="58">H55/(2*(S55+M55))</f>
        <v>0.49490101979604079</v>
      </c>
      <c r="AD55" s="37">
        <f t="shared" ref="AD55:AD57" si="59">((T55*0.5)+L55)/M55</f>
        <v>0.43567251461988304</v>
      </c>
      <c r="AE55" s="28">
        <v>33</v>
      </c>
      <c r="AF55" s="28">
        <v>1</v>
      </c>
      <c r="AG55" s="28">
        <v>29</v>
      </c>
      <c r="AH55" s="24">
        <v>112</v>
      </c>
      <c r="AI55" s="24">
        <v>56</v>
      </c>
      <c r="AJ55" s="38">
        <f t="shared" ref="AJ55:AJ57" si="60">AH55/AI55</f>
        <v>2</v>
      </c>
    </row>
    <row r="56" spans="1:36" ht="18.75">
      <c r="A56" s="42">
        <v>49</v>
      </c>
      <c r="B56" s="41" t="s">
        <v>99</v>
      </c>
      <c r="C56" s="7">
        <v>25</v>
      </c>
      <c r="D56" s="7">
        <v>516</v>
      </c>
      <c r="E56" s="8">
        <v>10.7</v>
      </c>
      <c r="F56" s="9">
        <f t="shared" si="46"/>
        <v>6.7439999999999971</v>
      </c>
      <c r="G56" s="10">
        <f t="shared" si="47"/>
        <v>13.069767441860458</v>
      </c>
      <c r="H56" s="11">
        <v>207</v>
      </c>
      <c r="I56" s="12">
        <f t="shared" si="48"/>
        <v>8.2799999999999994</v>
      </c>
      <c r="J56" s="11">
        <f>306+(U56*3)+O56</f>
        <v>370</v>
      </c>
      <c r="K56" s="13">
        <f t="shared" si="49"/>
        <v>0.55945945945945941</v>
      </c>
      <c r="L56" s="7">
        <v>83</v>
      </c>
      <c r="M56" s="7">
        <v>154</v>
      </c>
      <c r="N56" s="14">
        <f t="shared" si="50"/>
        <v>0.53896103896103897</v>
      </c>
      <c r="O56" s="7">
        <v>61</v>
      </c>
      <c r="P56" s="7">
        <v>41</v>
      </c>
      <c r="Q56" s="14">
        <f>41/61</f>
        <v>0.67213114754098358</v>
      </c>
      <c r="R56" s="15">
        <f t="shared" si="51"/>
        <v>0.39610389610389612</v>
      </c>
      <c r="S56" s="16">
        <f t="shared" si="52"/>
        <v>26.84</v>
      </c>
      <c r="T56" s="7">
        <v>0</v>
      </c>
      <c r="U56" s="7">
        <v>1</v>
      </c>
      <c r="V56" s="14">
        <f>T56/U56</f>
        <v>0</v>
      </c>
      <c r="W56" s="11">
        <v>102</v>
      </c>
      <c r="X56" s="11">
        <v>35</v>
      </c>
      <c r="Y56" s="17">
        <f t="shared" si="54"/>
        <v>10.620155038759691</v>
      </c>
      <c r="Z56" s="11">
        <f t="shared" si="55"/>
        <v>213.84</v>
      </c>
      <c r="AA56" s="10">
        <f t="shared" si="56"/>
        <v>8.5535999999999994</v>
      </c>
      <c r="AB56" s="18">
        <f t="shared" si="57"/>
        <v>0.96801346801346799</v>
      </c>
      <c r="AC56" s="19">
        <f t="shared" si="58"/>
        <v>0.57232913072329128</v>
      </c>
      <c r="AD56" s="20">
        <f t="shared" si="59"/>
        <v>0.53896103896103897</v>
      </c>
      <c r="AE56" s="11">
        <v>76</v>
      </c>
      <c r="AF56" s="11">
        <v>24</v>
      </c>
      <c r="AG56" s="11">
        <v>14</v>
      </c>
      <c r="AH56" s="7">
        <v>31</v>
      </c>
      <c r="AI56" s="7">
        <v>33</v>
      </c>
      <c r="AJ56" s="21">
        <f t="shared" si="60"/>
        <v>0.93939393939393945</v>
      </c>
    </row>
    <row r="57" spans="1:36" ht="18.75">
      <c r="A57" s="43">
        <v>50</v>
      </c>
      <c r="B57" s="23" t="s">
        <v>100</v>
      </c>
      <c r="C57" s="24">
        <v>23</v>
      </c>
      <c r="D57" s="24">
        <v>748</v>
      </c>
      <c r="E57" s="25">
        <v>15.4</v>
      </c>
      <c r="F57" s="26">
        <f t="shared" si="46"/>
        <v>10.621739130434786</v>
      </c>
      <c r="G57" s="27">
        <f t="shared" si="47"/>
        <v>13.064171122994658</v>
      </c>
      <c r="H57" s="28">
        <v>236</v>
      </c>
      <c r="I57" s="29">
        <f t="shared" si="48"/>
        <v>10.260869565217391</v>
      </c>
      <c r="J57" s="28">
        <v>512</v>
      </c>
      <c r="K57" s="30">
        <f t="shared" si="49"/>
        <v>0.4609375</v>
      </c>
      <c r="L57" s="24">
        <v>77</v>
      </c>
      <c r="M57" s="24">
        <v>176</v>
      </c>
      <c r="N57" s="31">
        <f t="shared" si="50"/>
        <v>0.4375</v>
      </c>
      <c r="O57" s="24">
        <v>52</v>
      </c>
      <c r="P57" s="24">
        <v>44</v>
      </c>
      <c r="Q57" s="31">
        <f>44/52</f>
        <v>0.84615384615384615</v>
      </c>
      <c r="R57" s="32">
        <f t="shared" si="51"/>
        <v>0.29545454545454547</v>
      </c>
      <c r="S57" s="33">
        <f t="shared" si="52"/>
        <v>22.88</v>
      </c>
      <c r="T57" s="24">
        <v>38</v>
      </c>
      <c r="U57" s="24">
        <v>108</v>
      </c>
      <c r="V57" s="31">
        <f t="shared" ref="V57" si="61">T57/U57</f>
        <v>0.35185185185185186</v>
      </c>
      <c r="W57" s="28">
        <v>71</v>
      </c>
      <c r="X57" s="28">
        <v>15</v>
      </c>
      <c r="Y57" s="34">
        <f t="shared" si="54"/>
        <v>4.5989304812834222</v>
      </c>
      <c r="Z57" s="28">
        <f t="shared" si="55"/>
        <v>245.88</v>
      </c>
      <c r="AA57" s="27">
        <f t="shared" si="56"/>
        <v>10.690434782608696</v>
      </c>
      <c r="AB57" s="35">
        <f t="shared" si="57"/>
        <v>0.95981779729949568</v>
      </c>
      <c r="AC57" s="36">
        <f t="shared" si="58"/>
        <v>0.59332260659694291</v>
      </c>
      <c r="AD57" s="37">
        <f t="shared" si="59"/>
        <v>0.54545454545454541</v>
      </c>
      <c r="AE57" s="28">
        <v>66</v>
      </c>
      <c r="AF57" s="28">
        <v>3</v>
      </c>
      <c r="AG57" s="28">
        <v>44</v>
      </c>
      <c r="AH57" s="24">
        <v>142</v>
      </c>
      <c r="AI57" s="24">
        <v>47</v>
      </c>
      <c r="AJ57" s="38">
        <f t="shared" si="60"/>
        <v>3.021276595744681</v>
      </c>
    </row>
    <row r="58" spans="1:36" s="48" customFormat="1" ht="21" customHeight="1">
      <c r="A58" s="49" t="s">
        <v>101</v>
      </c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</row>
    <row r="59" spans="1:36" s="48" customFormat="1" ht="21" customHeight="1">
      <c r="A59" s="49" t="s">
        <v>102</v>
      </c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</row>
  </sheetData>
  <mergeCells count="27">
    <mergeCell ref="AH5:AJ5"/>
    <mergeCell ref="AG5:AG7"/>
    <mergeCell ref="AH6:AJ6"/>
    <mergeCell ref="H6:K6"/>
    <mergeCell ref="AF5:AF7"/>
    <mergeCell ref="C1:AD2"/>
    <mergeCell ref="A58:Y58"/>
    <mergeCell ref="A5:B7"/>
    <mergeCell ref="E5:G5"/>
    <mergeCell ref="D5:D7"/>
    <mergeCell ref="C5:C7"/>
    <mergeCell ref="A59:Y59"/>
    <mergeCell ref="C3:AD4"/>
    <mergeCell ref="A1:B4"/>
    <mergeCell ref="E6:G6"/>
    <mergeCell ref="AE5:AE7"/>
    <mergeCell ref="L5:N5"/>
    <mergeCell ref="H5:K5"/>
    <mergeCell ref="W6:Y6"/>
    <mergeCell ref="Z5:AB5"/>
    <mergeCell ref="T5:V5"/>
    <mergeCell ref="T6:V6"/>
    <mergeCell ref="O6:S6"/>
    <mergeCell ref="W5:Y5"/>
    <mergeCell ref="O5:S5"/>
    <mergeCell ref="L6:N6"/>
    <mergeCell ref="AE1:AJ4"/>
  </mergeCells>
  <pageMargins left="0.25" right="0.25" top="0.75" bottom="0.75" header="0.3" footer="0.3"/>
  <pageSetup paperSize="8" fitToWidth="0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spartans</dc:creator>
  <cp:keywords/>
  <dc:description/>
  <cp:lastModifiedBy>spartans</cp:lastModifiedBy>
  <cp:revision/>
  <dcterms:created xsi:type="dcterms:W3CDTF">2022-12-08T02:44:19Z</dcterms:created>
  <dcterms:modified xsi:type="dcterms:W3CDTF">2023-02-07T15:16:32Z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601a9183577a4ddda32362b66eeb17de</vt:lpwstr>
  </property>
</Properties>
</file>